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ry Liles\Desktop\"/>
    </mc:Choice>
  </mc:AlternateContent>
  <xr:revisionPtr revIDLastSave="0" documentId="13_ncr:1_{C5B2C6C8-B5E2-420D-8FF1-01D587D99972}" xr6:coauthVersionLast="46" xr6:coauthVersionMax="46" xr10:uidLastSave="{00000000-0000-0000-0000-000000000000}"/>
  <bookViews>
    <workbookView xWindow="-120" yWindow="-120" windowWidth="24240" windowHeight="13140" xr2:uid="{4AD6AB48-F6D2-478B-B416-70F3856F64C9}"/>
  </bookViews>
  <sheets>
    <sheet name="Sheet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4" i="1" l="1"/>
  <c r="U25" i="1"/>
  <c r="U26" i="1"/>
  <c r="U27" i="1"/>
  <c r="U21" i="1"/>
  <c r="U20" i="1"/>
  <c r="U22" i="1"/>
  <c r="U23" i="1"/>
  <c r="BY60" i="1" l="1"/>
  <c r="BT60" i="1"/>
  <c r="BO60" i="1"/>
  <c r="BA60" i="1"/>
  <c r="AC60" i="1"/>
  <c r="Y60" i="1"/>
  <c r="T60" i="1"/>
  <c r="O60" i="1"/>
  <c r="J60" i="1"/>
  <c r="BY55" i="1"/>
  <c r="BT55" i="1"/>
  <c r="BO55" i="1"/>
  <c r="BA55" i="1"/>
  <c r="AC55" i="1"/>
  <c r="Y55" i="1"/>
  <c r="T55" i="1"/>
  <c r="O55" i="1"/>
  <c r="J55" i="1"/>
  <c r="BY61" i="1"/>
  <c r="BT61" i="1"/>
  <c r="BO61" i="1"/>
  <c r="BA61" i="1"/>
  <c r="AC61" i="1"/>
  <c r="Y61" i="1"/>
  <c r="T61" i="1"/>
  <c r="O61" i="1"/>
  <c r="J61" i="1"/>
  <c r="BY59" i="1"/>
  <c r="BT59" i="1"/>
  <c r="BO59" i="1"/>
  <c r="BA59" i="1"/>
  <c r="AC59" i="1"/>
  <c r="Y59" i="1"/>
  <c r="T59" i="1"/>
  <c r="O59" i="1"/>
  <c r="J59" i="1"/>
  <c r="BY58" i="1"/>
  <c r="BT58" i="1"/>
  <c r="BO58" i="1"/>
  <c r="BA58" i="1"/>
  <c r="AC58" i="1"/>
  <c r="Y58" i="1"/>
  <c r="T58" i="1"/>
  <c r="O58" i="1"/>
  <c r="J58" i="1"/>
  <c r="BY57" i="1"/>
  <c r="BT57" i="1"/>
  <c r="BO57" i="1"/>
  <c r="BA57" i="1"/>
  <c r="AC57" i="1"/>
  <c r="Y57" i="1"/>
  <c r="T57" i="1"/>
  <c r="O57" i="1"/>
  <c r="J57" i="1"/>
  <c r="BY54" i="1"/>
  <c r="BT54" i="1"/>
  <c r="BO54" i="1"/>
  <c r="BA54" i="1"/>
  <c r="AC54" i="1"/>
  <c r="Y54" i="1"/>
  <c r="T54" i="1"/>
  <c r="O54" i="1"/>
  <c r="J54" i="1"/>
  <c r="BY53" i="1"/>
  <c r="BT53" i="1"/>
  <c r="BO53" i="1"/>
  <c r="BA53" i="1"/>
  <c r="AC53" i="1"/>
  <c r="Y53" i="1"/>
  <c r="T53" i="1"/>
  <c r="O53" i="1"/>
  <c r="J53" i="1"/>
  <c r="BY52" i="1"/>
  <c r="BT52" i="1"/>
  <c r="BO52" i="1"/>
  <c r="BA52" i="1"/>
  <c r="AC52" i="1"/>
  <c r="Y52" i="1"/>
  <c r="T52" i="1"/>
  <c r="O52" i="1"/>
  <c r="J52" i="1"/>
  <c r="BY51" i="1"/>
  <c r="BT51" i="1"/>
  <c r="BO51" i="1"/>
  <c r="BA51" i="1"/>
  <c r="AC51" i="1"/>
  <c r="Y51" i="1"/>
  <c r="T51" i="1"/>
  <c r="O51" i="1"/>
  <c r="J51" i="1"/>
  <c r="BY49" i="1"/>
  <c r="BT49" i="1"/>
  <c r="BO49" i="1"/>
  <c r="BA49" i="1"/>
  <c r="AC49" i="1"/>
  <c r="Y49" i="1"/>
  <c r="T49" i="1"/>
  <c r="O49" i="1"/>
  <c r="J49" i="1"/>
  <c r="BY48" i="1"/>
  <c r="BT48" i="1"/>
  <c r="BO48" i="1"/>
  <c r="BA48" i="1"/>
  <c r="AC48" i="1"/>
  <c r="Y48" i="1"/>
  <c r="T48" i="1"/>
  <c r="O48" i="1"/>
  <c r="J48" i="1"/>
  <c r="BY47" i="1"/>
  <c r="BT47" i="1"/>
  <c r="BO47" i="1"/>
  <c r="BA47" i="1"/>
  <c r="AC47" i="1"/>
  <c r="Y47" i="1"/>
  <c r="T47" i="1"/>
  <c r="O47" i="1"/>
  <c r="J47" i="1"/>
  <c r="BY46" i="1"/>
  <c r="BT46" i="1"/>
  <c r="BO46" i="1"/>
  <c r="BA46" i="1"/>
  <c r="AC46" i="1"/>
  <c r="Y46" i="1"/>
  <c r="T46" i="1"/>
  <c r="O46" i="1"/>
  <c r="J46" i="1"/>
  <c r="BY45" i="1"/>
  <c r="BT45" i="1"/>
  <c r="BO45" i="1"/>
  <c r="BA45" i="1"/>
  <c r="AC45" i="1"/>
  <c r="Y45" i="1"/>
  <c r="T45" i="1"/>
  <c r="O45" i="1"/>
  <c r="J45" i="1"/>
  <c r="BY44" i="1"/>
  <c r="BT44" i="1"/>
  <c r="BO44" i="1"/>
  <c r="BA44" i="1"/>
  <c r="AC44" i="1"/>
  <c r="Y44" i="1"/>
  <c r="T44" i="1"/>
  <c r="O44" i="1"/>
  <c r="J44" i="1"/>
  <c r="AG61" i="1"/>
  <c r="U49" i="1" l="1"/>
  <c r="U47" i="1"/>
  <c r="U58" i="1"/>
  <c r="AG46" i="1"/>
  <c r="AG60" i="1"/>
  <c r="AG57" i="1"/>
  <c r="AG48" i="1"/>
  <c r="AG49" i="1"/>
  <c r="AG54" i="1"/>
  <c r="AG53" i="1"/>
  <c r="AG51" i="1"/>
  <c r="AG58" i="1"/>
  <c r="AG59" i="1"/>
  <c r="AG44" i="1"/>
  <c r="AG47" i="1"/>
  <c r="AG55" i="1"/>
  <c r="AG52" i="1"/>
  <c r="U45" i="1" l="1"/>
  <c r="U48" i="1"/>
  <c r="U57" i="1"/>
  <c r="U55" i="1"/>
  <c r="U60" i="1"/>
  <c r="U44" i="1"/>
  <c r="U59" i="1"/>
  <c r="U51" i="1"/>
  <c r="U52" i="1"/>
  <c r="U61" i="1"/>
  <c r="U46" i="1"/>
  <c r="U53" i="1"/>
  <c r="U54" i="1"/>
  <c r="BY29" i="1"/>
  <c r="BT29" i="1"/>
  <c r="BO29" i="1"/>
  <c r="BA29" i="1"/>
  <c r="AC29" i="1"/>
  <c r="Y29" i="1"/>
  <c r="T29" i="1"/>
  <c r="O29" i="1"/>
  <c r="J29" i="1"/>
  <c r="BY38" i="1"/>
  <c r="BT38" i="1"/>
  <c r="BO38" i="1"/>
  <c r="BA38" i="1"/>
  <c r="AC38" i="1"/>
  <c r="Y38" i="1"/>
  <c r="T38" i="1"/>
  <c r="O38" i="1"/>
  <c r="J38" i="1"/>
  <c r="BY40" i="1"/>
  <c r="BT40" i="1"/>
  <c r="BO40" i="1"/>
  <c r="BA40" i="1"/>
  <c r="AC40" i="1"/>
  <c r="Y40" i="1"/>
  <c r="T40" i="1"/>
  <c r="O40" i="1"/>
  <c r="J40" i="1"/>
  <c r="BY42" i="1"/>
  <c r="BT42" i="1"/>
  <c r="BO42" i="1"/>
  <c r="BA42" i="1"/>
  <c r="AC42" i="1"/>
  <c r="Y42" i="1"/>
  <c r="T42" i="1"/>
  <c r="O42" i="1"/>
  <c r="J42" i="1"/>
  <c r="BY30" i="1"/>
  <c r="BT30" i="1"/>
  <c r="BO30" i="1"/>
  <c r="BA30" i="1"/>
  <c r="AC30" i="1"/>
  <c r="Y30" i="1"/>
  <c r="T30" i="1"/>
  <c r="O30" i="1"/>
  <c r="J30" i="1"/>
  <c r="BY39" i="1"/>
  <c r="BT39" i="1"/>
  <c r="BO39" i="1"/>
  <c r="BA39" i="1"/>
  <c r="AC39" i="1"/>
  <c r="Y39" i="1"/>
  <c r="T39" i="1"/>
  <c r="O39" i="1"/>
  <c r="J39" i="1"/>
  <c r="BY34" i="1"/>
  <c r="BT34" i="1"/>
  <c r="BO34" i="1"/>
  <c r="BA34" i="1"/>
  <c r="AC34" i="1"/>
  <c r="Y34" i="1"/>
  <c r="T34" i="1"/>
  <c r="O34" i="1"/>
  <c r="J34" i="1"/>
  <c r="BY35" i="1"/>
  <c r="BT35" i="1"/>
  <c r="BO35" i="1"/>
  <c r="BA35" i="1"/>
  <c r="AC35" i="1"/>
  <c r="Y35" i="1"/>
  <c r="T35" i="1"/>
  <c r="O35" i="1"/>
  <c r="J35" i="1"/>
  <c r="BY36" i="1"/>
  <c r="BT36" i="1"/>
  <c r="BO36" i="1"/>
  <c r="BA36" i="1"/>
  <c r="AC36" i="1"/>
  <c r="Y36" i="1"/>
  <c r="T36" i="1"/>
  <c r="O36" i="1"/>
  <c r="J36" i="1"/>
  <c r="BY31" i="1"/>
  <c r="BT31" i="1"/>
  <c r="BO31" i="1"/>
  <c r="BA31" i="1"/>
  <c r="AC31" i="1"/>
  <c r="Y31" i="1"/>
  <c r="T31" i="1"/>
  <c r="O31" i="1"/>
  <c r="J31" i="1"/>
  <c r="BY32" i="1"/>
  <c r="BT32" i="1"/>
  <c r="BO32" i="1"/>
  <c r="BA32" i="1"/>
  <c r="AC32" i="1"/>
  <c r="Y32" i="1"/>
  <c r="T32" i="1"/>
  <c r="O32" i="1"/>
  <c r="J32" i="1"/>
  <c r="BY41" i="1"/>
  <c r="BT41" i="1"/>
  <c r="BO41" i="1"/>
  <c r="BA41" i="1"/>
  <c r="AC41" i="1"/>
  <c r="Y41" i="1"/>
  <c r="T41" i="1"/>
  <c r="O41" i="1"/>
  <c r="J41" i="1"/>
  <c r="BY17" i="1"/>
  <c r="BT17" i="1"/>
  <c r="BO17" i="1"/>
  <c r="BA17" i="1"/>
  <c r="AC17" i="1"/>
  <c r="Y17" i="1"/>
  <c r="T17" i="1"/>
  <c r="O17" i="1"/>
  <c r="J17" i="1"/>
  <c r="BY18" i="1"/>
  <c r="BT18" i="1"/>
  <c r="BO18" i="1"/>
  <c r="BA18" i="1"/>
  <c r="AC18" i="1"/>
  <c r="Y18" i="1"/>
  <c r="T18" i="1"/>
  <c r="O18" i="1"/>
  <c r="J18" i="1"/>
  <c r="BY19" i="1"/>
  <c r="BT19" i="1"/>
  <c r="BO19" i="1"/>
  <c r="BA19" i="1"/>
  <c r="AC19" i="1"/>
  <c r="Y19" i="1"/>
  <c r="T19" i="1"/>
  <c r="O19" i="1"/>
  <c r="J19" i="1"/>
  <c r="BY13" i="1"/>
  <c r="BT13" i="1"/>
  <c r="BO13" i="1"/>
  <c r="BA13" i="1"/>
  <c r="AC13" i="1"/>
  <c r="Y13" i="1"/>
  <c r="T13" i="1"/>
  <c r="O13" i="1"/>
  <c r="J13" i="1"/>
  <c r="BY5" i="1"/>
  <c r="BT5" i="1"/>
  <c r="BO5" i="1"/>
  <c r="BA5" i="1"/>
  <c r="AC5" i="1"/>
  <c r="Y5" i="1"/>
  <c r="T5" i="1"/>
  <c r="O5" i="1"/>
  <c r="J5" i="1"/>
  <c r="BY4" i="1"/>
  <c r="BT4" i="1"/>
  <c r="BO4" i="1"/>
  <c r="BA4" i="1"/>
  <c r="AC4" i="1"/>
  <c r="Y4" i="1"/>
  <c r="T4" i="1"/>
  <c r="O4" i="1"/>
  <c r="J4" i="1"/>
  <c r="BY14" i="1"/>
  <c r="BT14" i="1"/>
  <c r="BO14" i="1"/>
  <c r="BA14" i="1"/>
  <c r="AC14" i="1"/>
  <c r="Y14" i="1"/>
  <c r="T14" i="1"/>
  <c r="O14" i="1"/>
  <c r="J14" i="1"/>
  <c r="BY9" i="1"/>
  <c r="BT9" i="1"/>
  <c r="BO9" i="1"/>
  <c r="BA9" i="1"/>
  <c r="AC9" i="1"/>
  <c r="Y9" i="1"/>
  <c r="T9" i="1"/>
  <c r="O9" i="1"/>
  <c r="J9" i="1"/>
  <c r="BY10" i="1"/>
  <c r="BT10" i="1"/>
  <c r="BO10" i="1"/>
  <c r="BA10" i="1"/>
  <c r="AC10" i="1"/>
  <c r="Y10" i="1"/>
  <c r="T10" i="1"/>
  <c r="O10" i="1"/>
  <c r="J10" i="1"/>
  <c r="BY11" i="1"/>
  <c r="BT11" i="1"/>
  <c r="BO11" i="1"/>
  <c r="BA11" i="1"/>
  <c r="AC11" i="1"/>
  <c r="Y11" i="1"/>
  <c r="T11" i="1"/>
  <c r="O11" i="1"/>
  <c r="J11" i="1"/>
  <c r="BY6" i="1"/>
  <c r="BT6" i="1"/>
  <c r="BO6" i="1"/>
  <c r="BA6" i="1"/>
  <c r="AC6" i="1"/>
  <c r="Y6" i="1"/>
  <c r="T6" i="1"/>
  <c r="O6" i="1"/>
  <c r="J6" i="1"/>
  <c r="BY7" i="1"/>
  <c r="BT7" i="1"/>
  <c r="BO7" i="1"/>
  <c r="BA7" i="1"/>
  <c r="AC7" i="1"/>
  <c r="Y7" i="1"/>
  <c r="T7" i="1"/>
  <c r="O7" i="1"/>
  <c r="J7" i="1"/>
  <c r="BY15" i="1"/>
  <c r="BT15" i="1"/>
  <c r="BO15" i="1"/>
  <c r="BA15" i="1"/>
  <c r="AC15" i="1"/>
  <c r="Y15" i="1"/>
  <c r="T15" i="1"/>
  <c r="O15" i="1"/>
  <c r="J15" i="1"/>
  <c r="AG45" i="1"/>
  <c r="AG32" i="1"/>
  <c r="AG17" i="1"/>
  <c r="AG41" i="1"/>
  <c r="AG34" i="1"/>
  <c r="AG6" i="1"/>
  <c r="AG40" i="1"/>
  <c r="AG13" i="1"/>
  <c r="AG5" i="1"/>
  <c r="AG31" i="1"/>
  <c r="AG36" i="1"/>
  <c r="AG39" i="1"/>
  <c r="AG11" i="1"/>
  <c r="AG9" i="1"/>
  <c r="AG38" i="1"/>
  <c r="AG35" i="1"/>
  <c r="AG15" i="1"/>
  <c r="AG19" i="1"/>
  <c r="AG4" i="1"/>
  <c r="AG29" i="1"/>
  <c r="AG18" i="1"/>
  <c r="AG14" i="1"/>
  <c r="AG42" i="1"/>
  <c r="AG7" i="1"/>
  <c r="AG30" i="1"/>
  <c r="AG10" i="1"/>
  <c r="U6" i="1" l="1"/>
  <c r="Z6" i="1" s="1"/>
  <c r="U39" i="1"/>
  <c r="Z39" i="1" s="1"/>
  <c r="U35" i="1"/>
  <c r="Z35" i="1" s="1"/>
  <c r="U34" i="1"/>
  <c r="Z34" i="1" s="1"/>
  <c r="U41" i="1"/>
  <c r="Z41" i="1" s="1"/>
  <c r="U9" i="1"/>
  <c r="Z9" i="1" s="1"/>
  <c r="U32" i="1"/>
  <c r="Z32" i="1" s="1"/>
  <c r="U18" i="1"/>
  <c r="Z18" i="1" s="1"/>
  <c r="U10" i="1"/>
  <c r="Z10" i="1" s="1"/>
  <c r="U5" i="1"/>
  <c r="Z5" i="1" s="1"/>
  <c r="U30" i="1"/>
  <c r="Z30" i="1" s="1"/>
  <c r="U42" i="1"/>
  <c r="Z42" i="1" s="1"/>
  <c r="U14" i="1"/>
  <c r="Z14" i="1" s="1"/>
  <c r="U36" i="1"/>
  <c r="Z36" i="1" s="1"/>
  <c r="U15" i="1"/>
  <c r="Z15" i="1" s="1"/>
  <c r="U11" i="1"/>
  <c r="Z11" i="1" s="1"/>
  <c r="U19" i="1"/>
  <c r="Z19" i="1" s="1"/>
  <c r="U4" i="1"/>
  <c r="Z4" i="1" s="1"/>
  <c r="U31" i="1"/>
  <c r="Z31" i="1" s="1"/>
  <c r="U40" i="1"/>
  <c r="Z40" i="1" s="1"/>
  <c r="U7" i="1"/>
  <c r="Z7" i="1" s="1"/>
  <c r="U17" i="1"/>
  <c r="Z17" i="1" s="1"/>
  <c r="U38" i="1"/>
  <c r="Z38" i="1" s="1"/>
  <c r="U13" i="1"/>
  <c r="Z13" i="1" s="1"/>
  <c r="U29" i="1"/>
  <c r="Z29" i="1" s="1"/>
  <c r="AX4" i="1" l="1"/>
  <c r="AX5" i="1" l="1"/>
  <c r="AX6" i="1" s="1"/>
  <c r="AX41" i="1" l="1"/>
  <c r="AX42" i="1" l="1"/>
  <c r="AX44" i="1" s="1"/>
  <c r="AY44" i="1" l="1"/>
  <c r="AZ45" i="1" s="1"/>
  <c r="AX45" i="1"/>
  <c r="AY41" i="1"/>
  <c r="AZ42" i="1" s="1"/>
  <c r="AY42" i="1"/>
  <c r="AZ44" i="1" s="1"/>
  <c r="AZ41" i="1"/>
  <c r="AX7" i="1"/>
  <c r="AX9" i="1" s="1"/>
  <c r="AX10" i="1" s="1"/>
  <c r="AX11" i="1" s="1"/>
  <c r="AX13" i="1" s="1"/>
  <c r="AX14" i="1" s="1"/>
  <c r="AX15" i="1" s="1"/>
  <c r="AX17" i="1" s="1"/>
  <c r="AX18" i="1" s="1"/>
  <c r="AX19" i="1" s="1"/>
  <c r="AX29" i="1" s="1"/>
  <c r="AX30" i="1" s="1"/>
  <c r="AX31" i="1" s="1"/>
  <c r="AX32" i="1" s="1"/>
  <c r="AX34" i="1" s="1"/>
  <c r="AX35" i="1" s="1"/>
  <c r="AX36" i="1" s="1"/>
  <c r="AX38" i="1" s="1"/>
  <c r="AX39" i="1" s="1"/>
  <c r="AX40" i="1" s="1"/>
  <c r="AX46" i="1" l="1"/>
  <c r="AY45" i="1"/>
  <c r="AZ46" i="1" s="1"/>
  <c r="AY46" i="1" l="1"/>
  <c r="AZ47" i="1" s="1"/>
  <c r="AX47" i="1"/>
  <c r="AX48" i="1" l="1"/>
  <c r="AY47" i="1"/>
  <c r="AZ48" i="1" s="1"/>
  <c r="AX49" i="1" l="1"/>
  <c r="AY48" i="1"/>
  <c r="AZ49" i="1" s="1"/>
  <c r="AX51" i="1" l="1"/>
  <c r="AY49" i="1"/>
  <c r="AZ51" i="1" s="1"/>
  <c r="AX52" i="1" l="1"/>
  <c r="AY51" i="1"/>
  <c r="AZ52" i="1" s="1"/>
  <c r="AY52" i="1" l="1"/>
  <c r="AZ53" i="1" s="1"/>
  <c r="AX53" i="1"/>
  <c r="AX54" i="1" l="1"/>
  <c r="AY53" i="1"/>
  <c r="AZ54" i="1" s="1"/>
  <c r="AX57" i="1" l="1"/>
  <c r="AY54" i="1"/>
  <c r="AZ57" i="1" s="1"/>
  <c r="AX58" i="1" l="1"/>
  <c r="AY57" i="1"/>
  <c r="AZ58" i="1" s="1"/>
  <c r="AY58" i="1" l="1"/>
  <c r="AZ59" i="1" s="1"/>
  <c r="AX59" i="1"/>
  <c r="AX61" i="1" l="1"/>
  <c r="AY59" i="1"/>
  <c r="AZ61" i="1" s="1"/>
  <c r="AX55" i="1" l="1"/>
  <c r="AY61" i="1"/>
  <c r="AZ55" i="1" s="1"/>
  <c r="AY55" i="1" l="1"/>
  <c r="AZ60" i="1" s="1"/>
  <c r="AX60" i="1"/>
  <c r="AY60" i="1" s="1"/>
  <c r="AB6" i="1"/>
  <c r="AA6" i="1"/>
  <c r="H6" i="1"/>
  <c r="AW54" i="1"/>
  <c r="AV54" i="1"/>
  <c r="AB18" i="1"/>
  <c r="AA18" i="1"/>
  <c r="H18" i="1"/>
  <c r="AW46" i="1"/>
  <c r="AV46" i="1"/>
  <c r="AF18" i="1"/>
  <c r="AD18" i="1"/>
  <c r="AW30" i="1"/>
  <c r="AV30" i="1"/>
  <c r="AB7" i="1"/>
  <c r="AA7" i="1"/>
  <c r="H7" i="1"/>
  <c r="AF13" i="1"/>
  <c r="AD13" i="1"/>
  <c r="AF60" i="1"/>
  <c r="AD60" i="1"/>
  <c r="AW39" i="1"/>
  <c r="AV39" i="1"/>
  <c r="AF57" i="1"/>
  <c r="AD57" i="1"/>
  <c r="AF38" i="1"/>
  <c r="AD38" i="1"/>
  <c r="AB58" i="1"/>
  <c r="AA58" i="1"/>
  <c r="AF34" i="1"/>
  <c r="AD34" i="1"/>
  <c r="AF58" i="1"/>
  <c r="Z58" i="1"/>
  <c r="AD58" i="1"/>
  <c r="AB17" i="1"/>
  <c r="AA17" i="1"/>
  <c r="H17" i="1"/>
  <c r="AZ35" i="1"/>
  <c r="AY34" i="1"/>
  <c r="AW18" i="1"/>
  <c r="AU18" i="1"/>
  <c r="AV18" i="1"/>
  <c r="AF11" i="1"/>
  <c r="AD11" i="1"/>
  <c r="AW52" i="1"/>
  <c r="AV52" i="1"/>
  <c r="AF49" i="1"/>
  <c r="AD49" i="1"/>
  <c r="AB49" i="1"/>
  <c r="Z49" i="1"/>
  <c r="AA49" i="1"/>
  <c r="AZ11" i="1"/>
  <c r="AY10" i="1"/>
  <c r="AB57" i="1"/>
  <c r="Z57" i="1"/>
  <c r="AA57" i="1"/>
  <c r="AW47" i="1"/>
  <c r="AV47" i="1"/>
  <c r="AF61" i="1"/>
  <c r="AD61" i="1"/>
  <c r="H40" i="1"/>
  <c r="AA40" i="1"/>
  <c r="AB40" i="1"/>
  <c r="AZ10" i="1"/>
  <c r="AY9" i="1"/>
  <c r="AW51" i="1"/>
  <c r="AV51" i="1"/>
  <c r="AV61" i="1"/>
  <c r="AW61" i="1"/>
  <c r="AW7" i="1"/>
  <c r="AV7" i="1"/>
  <c r="AF4" i="1"/>
  <c r="AD4" i="1"/>
  <c r="AZ18" i="1"/>
  <c r="AY17" i="1"/>
  <c r="AF48" i="1"/>
  <c r="AD48" i="1"/>
  <c r="AB44" i="1"/>
  <c r="AA44" i="1"/>
  <c r="AZ31" i="1"/>
  <c r="AY30" i="1"/>
  <c r="AW59" i="1"/>
  <c r="AV59" i="1"/>
  <c r="AW45" i="1"/>
  <c r="AV45" i="1"/>
  <c r="AB55" i="1"/>
  <c r="AA55" i="1"/>
  <c r="AW38" i="1"/>
  <c r="AU38" i="1"/>
  <c r="AV38" i="1"/>
  <c r="AF9" i="1"/>
  <c r="AD9" i="1"/>
  <c r="AF40" i="1"/>
  <c r="AD40" i="1"/>
  <c r="AD32" i="1"/>
  <c r="AF32" i="1"/>
  <c r="AB48" i="1"/>
  <c r="Z48" i="1"/>
  <c r="AA48" i="1"/>
  <c r="AZ32" i="1"/>
  <c r="AY31" i="1"/>
  <c r="AV44" i="1"/>
  <c r="AW44" i="1"/>
  <c r="AW6" i="1"/>
  <c r="AV6" i="1"/>
  <c r="AU32" i="1"/>
  <c r="AV32" i="1"/>
  <c r="AW32" i="1"/>
  <c r="AZ29" i="1"/>
  <c r="AY19" i="1"/>
  <c r="AB41" i="1"/>
  <c r="AA41" i="1"/>
  <c r="H41" i="1"/>
  <c r="AB11" i="1"/>
  <c r="AA11" i="1"/>
  <c r="H11" i="1"/>
  <c r="AB9" i="1"/>
  <c r="AA9" i="1"/>
  <c r="H9" i="1"/>
  <c r="AF30" i="1"/>
  <c r="AU30" i="1"/>
  <c r="AD30" i="1"/>
  <c r="H30" i="1"/>
  <c r="AA30" i="1"/>
  <c r="AB30" i="1"/>
  <c r="AF36" i="1"/>
  <c r="AD36" i="1"/>
  <c r="H32" i="1"/>
  <c r="AA32" i="1"/>
  <c r="AB32" i="1"/>
  <c r="AU34" i="1"/>
  <c r="AV34" i="1"/>
  <c r="AW34" i="1"/>
  <c r="AF41" i="1"/>
  <c r="AD41" i="1"/>
  <c r="AW42" i="1"/>
  <c r="AV42" i="1"/>
  <c r="AW14" i="1"/>
  <c r="AV14" i="1"/>
  <c r="AZ13" i="1"/>
  <c r="AY11" i="1"/>
  <c r="AW10" i="1"/>
  <c r="AV10" i="1"/>
  <c r="AF19" i="1"/>
  <c r="AD19" i="1"/>
  <c r="AD15" i="1"/>
  <c r="AF15" i="1"/>
  <c r="AZ17" i="1"/>
  <c r="AY15" i="1"/>
  <c r="H15" i="1"/>
  <c r="AA15" i="1"/>
  <c r="AB15" i="1"/>
  <c r="AB53" i="1"/>
  <c r="AA53" i="1"/>
  <c r="AF10" i="1"/>
  <c r="AU10" i="1"/>
  <c r="AD10" i="1"/>
  <c r="AB13" i="1"/>
  <c r="AA13" i="1"/>
  <c r="H13" i="1"/>
  <c r="AF35" i="1"/>
  <c r="AD35" i="1"/>
  <c r="AZ30" i="1"/>
  <c r="AY29" i="1"/>
  <c r="AW31" i="1"/>
  <c r="AV31" i="1"/>
  <c r="AF59" i="1"/>
  <c r="AD59" i="1"/>
  <c r="AZ7" i="1"/>
  <c r="AY6" i="1"/>
  <c r="AZ5" i="1"/>
  <c r="AY4" i="1"/>
  <c r="AZ4" i="1"/>
  <c r="AW5" i="1"/>
  <c r="AV5" i="1"/>
  <c r="AF7" i="1"/>
  <c r="AD7" i="1"/>
  <c r="AF5" i="1"/>
  <c r="AU5" i="1"/>
  <c r="AD5" i="1"/>
  <c r="AU9" i="1"/>
  <c r="AV9" i="1"/>
  <c r="AW9" i="1"/>
  <c r="AV17" i="1"/>
  <c r="AW17" i="1"/>
  <c r="AZ39" i="1"/>
  <c r="AY38" i="1"/>
  <c r="AB14" i="1"/>
  <c r="AA14" i="1"/>
  <c r="H14" i="1"/>
  <c r="AB10" i="1"/>
  <c r="AA10" i="1"/>
  <c r="H10" i="1"/>
  <c r="H5" i="1"/>
  <c r="AA5" i="1"/>
  <c r="AB5" i="1"/>
  <c r="H42" i="1"/>
  <c r="AA42" i="1"/>
  <c r="AB42" i="1"/>
  <c r="AZ34" i="1"/>
  <c r="AY32" i="1"/>
  <c r="H34" i="1"/>
  <c r="AA34" i="1"/>
  <c r="AB34" i="1"/>
  <c r="AF14" i="1"/>
  <c r="AU14" i="1"/>
  <c r="AD14" i="1"/>
  <c r="AZ38" i="1"/>
  <c r="AY36" i="1"/>
  <c r="AF52" i="1"/>
  <c r="AD52" i="1"/>
  <c r="AB59" i="1"/>
  <c r="AU59" i="1"/>
  <c r="Z59" i="1"/>
  <c r="AA59" i="1"/>
  <c r="AZ14" i="1"/>
  <c r="AY13" i="1"/>
  <c r="H19" i="1"/>
  <c r="AA19" i="1"/>
  <c r="AB19" i="1"/>
  <c r="AU11" i="1"/>
  <c r="AV11" i="1"/>
  <c r="AW11" i="1"/>
  <c r="AZ15" i="1"/>
  <c r="AY14" i="1"/>
  <c r="AW36" i="1"/>
  <c r="AU36" i="1"/>
  <c r="AV36" i="1"/>
  <c r="AF44" i="1"/>
  <c r="AU44" i="1"/>
  <c r="Z44" i="1"/>
  <c r="AD44" i="1"/>
  <c r="AF39" i="1"/>
  <c r="AU39" i="1"/>
  <c r="AD39" i="1"/>
  <c r="AD29" i="1"/>
  <c r="AF29" i="1"/>
  <c r="AV53" i="1"/>
  <c r="AW53" i="1"/>
  <c r="AF6" i="1"/>
  <c r="AU6" i="1"/>
  <c r="AD6" i="1"/>
  <c r="AB31" i="1"/>
  <c r="AA31" i="1"/>
  <c r="H31" i="1"/>
  <c r="AB60" i="1"/>
  <c r="Z60" i="1"/>
  <c r="AA60" i="1"/>
  <c r="AD47" i="1"/>
  <c r="AF47" i="1"/>
  <c r="AD51" i="1"/>
  <c r="AF51" i="1"/>
  <c r="AF53" i="1"/>
  <c r="AU53" i="1"/>
  <c r="Z53" i="1"/>
  <c r="AD53" i="1"/>
  <c r="AW60" i="1"/>
  <c r="AU60" i="1"/>
  <c r="AV60" i="1"/>
  <c r="AF42" i="1"/>
  <c r="AU42" i="1"/>
  <c r="AD42" i="1"/>
  <c r="AB46" i="1"/>
  <c r="AA46" i="1"/>
  <c r="AF55" i="1"/>
  <c r="Z55" i="1"/>
  <c r="AD55" i="1"/>
  <c r="AB35" i="1"/>
  <c r="AA35" i="1"/>
  <c r="H35" i="1"/>
  <c r="AW40" i="1"/>
  <c r="AU40" i="1"/>
  <c r="AV40" i="1"/>
  <c r="AB61" i="1"/>
  <c r="AU61" i="1"/>
  <c r="Z61" i="1"/>
  <c r="AA61" i="1"/>
  <c r="AB36" i="1"/>
  <c r="AA36" i="1"/>
  <c r="H36" i="1"/>
  <c r="AW49" i="1"/>
  <c r="AU49" i="1"/>
  <c r="AV49" i="1"/>
  <c r="AU35" i="1"/>
  <c r="AV35" i="1"/>
  <c r="AW35" i="1"/>
  <c r="AZ40" i="1"/>
  <c r="AY39" i="1"/>
  <c r="AU48" i="1"/>
  <c r="AV48" i="1"/>
  <c r="AW48" i="1"/>
  <c r="AU55" i="1"/>
  <c r="AV55" i="1"/>
  <c r="AW55" i="1"/>
  <c r="AY40" i="1"/>
  <c r="AU17" i="1"/>
  <c r="AD17" i="1"/>
  <c r="AF17" i="1"/>
  <c r="AY7" i="1"/>
  <c r="AZ9" i="1"/>
  <c r="AB45" i="1"/>
  <c r="AA45" i="1"/>
  <c r="AB39" i="1"/>
  <c r="AA39" i="1"/>
  <c r="H39" i="1"/>
  <c r="AD54" i="1"/>
  <c r="AF54" i="1"/>
  <c r="AW57" i="1"/>
  <c r="AU57" i="1"/>
  <c r="AV57" i="1"/>
  <c r="AU52" i="1"/>
  <c r="Z52" i="1"/>
  <c r="AA52" i="1"/>
  <c r="AB52" i="1"/>
  <c r="H38" i="1"/>
  <c r="AA38" i="1"/>
  <c r="AB38" i="1"/>
  <c r="BB46" i="1"/>
  <c r="BB31" i="1"/>
  <c r="BB49" i="1"/>
  <c r="BB14" i="1"/>
  <c r="BB36" i="1"/>
  <c r="BB6" i="1"/>
  <c r="BB53" i="1"/>
  <c r="BB42" i="1"/>
  <c r="BB30" i="1"/>
  <c r="BB11" i="1"/>
  <c r="BB40" i="1"/>
  <c r="BB48" i="1"/>
  <c r="BB61" i="1"/>
  <c r="BB13" i="1"/>
  <c r="BB41" i="1"/>
  <c r="BB58" i="1"/>
  <c r="BB7" i="1"/>
  <c r="BB54" i="1"/>
  <c r="BB29" i="1"/>
  <c r="BB17" i="1"/>
  <c r="BB45" i="1"/>
  <c r="BB9" i="1"/>
  <c r="BB18" i="1"/>
  <c r="BB19" i="1"/>
  <c r="BB38" i="1"/>
  <c r="BB32" i="1"/>
  <c r="BB5" i="1"/>
  <c r="BB52" i="1"/>
  <c r="BB59" i="1"/>
  <c r="BB35" i="1"/>
  <c r="BB47" i="1"/>
  <c r="BB15" i="1"/>
  <c r="BB10" i="1"/>
  <c r="BB55" i="1"/>
  <c r="BB60" i="1"/>
  <c r="BB34" i="1"/>
  <c r="BB51" i="1"/>
  <c r="BB39" i="1"/>
  <c r="BB44" i="1"/>
  <c r="BB4" i="1"/>
  <c r="BB57" i="1"/>
  <c r="AW13" i="1"/>
  <c r="AU13" i="1"/>
  <c r="AV13" i="1"/>
  <c r="AY35" i="1"/>
  <c r="AZ36" i="1"/>
  <c r="AU47" i="1"/>
  <c r="Z47" i="1"/>
  <c r="AA47" i="1"/>
  <c r="AB47" i="1"/>
  <c r="AU29" i="1"/>
  <c r="AV29" i="1"/>
  <c r="AW29" i="1"/>
  <c r="AU31" i="1"/>
  <c r="AD31" i="1"/>
  <c r="AF31" i="1"/>
  <c r="AY18" i="1"/>
  <c r="AZ19" i="1"/>
  <c r="AU54" i="1"/>
  <c r="Z54" i="1"/>
  <c r="AA54" i="1"/>
  <c r="AB54" i="1"/>
  <c r="AU15" i="1"/>
  <c r="AV15" i="1"/>
  <c r="AW15" i="1"/>
  <c r="AU41" i="1"/>
  <c r="AV41" i="1"/>
  <c r="AW41" i="1"/>
  <c r="AU4" i="1"/>
  <c r="AV4" i="1"/>
  <c r="AW4" i="1"/>
  <c r="AY5" i="1"/>
  <c r="AZ6" i="1"/>
  <c r="AU46" i="1"/>
  <c r="Z46" i="1"/>
  <c r="AD46" i="1"/>
  <c r="AF46" i="1"/>
  <c r="AU19" i="1"/>
  <c r="AV19" i="1"/>
  <c r="AW19" i="1"/>
  <c r="AU58" i="1"/>
  <c r="AV58" i="1"/>
  <c r="AW58" i="1"/>
  <c r="BZ7" i="1"/>
  <c r="BZ40" i="1"/>
  <c r="BZ32" i="1"/>
  <c r="BZ59" i="1"/>
  <c r="BZ13" i="1"/>
  <c r="BZ54" i="1"/>
  <c r="BZ31" i="1"/>
  <c r="BZ15" i="1"/>
  <c r="BZ52" i="1"/>
  <c r="BZ14" i="1"/>
  <c r="BZ41" i="1"/>
  <c r="BZ42" i="1"/>
  <c r="BZ10" i="1"/>
  <c r="BZ5" i="1"/>
  <c r="BZ51" i="1"/>
  <c r="BZ35" i="1"/>
  <c r="BZ47" i="1"/>
  <c r="BZ46" i="1"/>
  <c r="BZ29" i="1"/>
  <c r="BZ19" i="1"/>
  <c r="BZ9" i="1"/>
  <c r="BZ49" i="1"/>
  <c r="BZ55" i="1"/>
  <c r="BZ38" i="1"/>
  <c r="BZ4" i="1"/>
  <c r="BZ45" i="1"/>
  <c r="BZ36" i="1"/>
  <c r="BZ6" i="1"/>
  <c r="BZ61" i="1"/>
  <c r="BZ44" i="1"/>
  <c r="BZ48" i="1"/>
  <c r="BZ53" i="1"/>
  <c r="BZ17" i="1"/>
  <c r="BZ30" i="1"/>
  <c r="BZ60" i="1"/>
  <c r="BZ57" i="1"/>
  <c r="BZ34" i="1"/>
  <c r="BZ18" i="1"/>
  <c r="BZ11" i="1"/>
  <c r="BZ39" i="1"/>
  <c r="BZ58" i="1"/>
  <c r="H4" i="1"/>
  <c r="AA4" i="1"/>
  <c r="AB4" i="1"/>
  <c r="H61" i="1"/>
  <c r="H44" i="1"/>
  <c r="F32" i="1"/>
  <c r="F48" i="1"/>
  <c r="F52" i="1"/>
  <c r="H52" i="1"/>
  <c r="H53" i="1"/>
  <c r="F54" i="1"/>
  <c r="F19" i="1"/>
  <c r="F46" i="1"/>
  <c r="H55" i="1"/>
  <c r="F38" i="1"/>
  <c r="F17" i="1"/>
  <c r="F57" i="1"/>
  <c r="H58" i="1"/>
  <c r="F44" i="1"/>
  <c r="F42" i="1"/>
  <c r="F55" i="1"/>
  <c r="F29" i="1"/>
  <c r="F15" i="1"/>
  <c r="F10" i="1"/>
  <c r="F53" i="1"/>
  <c r="F34" i="1"/>
  <c r="H54" i="1"/>
  <c r="F6" i="1"/>
  <c r="F30" i="1"/>
  <c r="F18" i="1"/>
  <c r="H46" i="1"/>
  <c r="F40" i="1"/>
  <c r="F5" i="1"/>
  <c r="F47" i="1"/>
  <c r="H49" i="1"/>
  <c r="F36" i="1"/>
  <c r="F31" i="1"/>
  <c r="F60" i="1"/>
  <c r="F39" i="1"/>
  <c r="F61" i="1"/>
  <c r="H48" i="1"/>
  <c r="F59" i="1"/>
  <c r="F11" i="1"/>
  <c r="H51" i="1"/>
  <c r="F4" i="1"/>
  <c r="H45" i="1"/>
  <c r="H59" i="1"/>
  <c r="H60" i="1"/>
  <c r="F41" i="1"/>
  <c r="H57" i="1"/>
  <c r="F35" i="1"/>
  <c r="H47" i="1"/>
  <c r="F49" i="1"/>
  <c r="F58" i="1"/>
  <c r="F9" i="1"/>
  <c r="F7" i="1"/>
  <c r="H29" i="1"/>
  <c r="AA29" i="1"/>
  <c r="AB29" i="1"/>
  <c r="AU45" i="1"/>
  <c r="Z45" i="1"/>
  <c r="AD45" i="1"/>
  <c r="AF45" i="1"/>
  <c r="AU7" i="1"/>
  <c r="AU51" i="1"/>
  <c r="Z51" i="1"/>
  <c r="AA51" i="1"/>
  <c r="AB51" i="1"/>
</calcChain>
</file>

<file path=xl/sharedStrings.xml><?xml version="1.0" encoding="utf-8"?>
<sst xmlns="http://schemas.openxmlformats.org/spreadsheetml/2006/main" count="213" uniqueCount="85">
  <si>
    <t>A</t>
  </si>
  <si>
    <t>Jason Dowling</t>
  </si>
  <si>
    <t>Ja'Shaun Green</t>
  </si>
  <si>
    <t>Drew Sharp</t>
  </si>
  <si>
    <t>Kameron Mobbs</t>
  </si>
  <si>
    <t>Tyquan Bounds</t>
  </si>
  <si>
    <t>Garron Richmond</t>
  </si>
  <si>
    <t>Braden Allred</t>
  </si>
  <si>
    <t>Eric Sosa</t>
  </si>
  <si>
    <t>Jay Collins</t>
  </si>
  <si>
    <t>Cameron Goss</t>
  </si>
  <si>
    <t>Jeremiah Hicks</t>
  </si>
  <si>
    <t>Ty Deale</t>
  </si>
  <si>
    <t>B</t>
  </si>
  <si>
    <t>Treyon Wash</t>
  </si>
  <si>
    <t>Ethan Brown</t>
  </si>
  <si>
    <t>Jaeden Brown</t>
  </si>
  <si>
    <t>Carlos Hickman</t>
  </si>
  <si>
    <t>C</t>
  </si>
  <si>
    <t>Aiden Penick</t>
  </si>
  <si>
    <t>M-BL</t>
  </si>
  <si>
    <t>Dre Hatchett</t>
  </si>
  <si>
    <t>Austin Black</t>
  </si>
  <si>
    <t>Chris Ford</t>
  </si>
  <si>
    <t>Nate Hardy</t>
  </si>
  <si>
    <t>Brandon Killen</t>
  </si>
  <si>
    <t>Zacharrah Parodi</t>
  </si>
  <si>
    <t>Justice Hampton</t>
  </si>
  <si>
    <t>Terry Malone</t>
  </si>
  <si>
    <t>Xavier Bobbit</t>
  </si>
  <si>
    <t>John O'Neal</t>
  </si>
  <si>
    <t>Raylond Nettles</t>
  </si>
  <si>
    <t>D</t>
  </si>
  <si>
    <t>Kendrick Isom</t>
  </si>
  <si>
    <t>Reed Hester</t>
  </si>
  <si>
    <t>J.T. Alan</t>
  </si>
  <si>
    <t>Alec Pientowski</t>
  </si>
  <si>
    <t>Nathaniel Kelley</t>
  </si>
  <si>
    <t>Will Wood</t>
  </si>
  <si>
    <t>Jeb Sisk</t>
  </si>
  <si>
    <t>Bryce McLellen</t>
  </si>
  <si>
    <t>Wesley Pomerlee</t>
  </si>
  <si>
    <t>Cleveland McAfee</t>
  </si>
  <si>
    <t>Zach Collins</t>
  </si>
  <si>
    <t>Alex Sharp</t>
  </si>
  <si>
    <t>Cam'ron Jennings</t>
  </si>
  <si>
    <t>Elijah Robinson</t>
  </si>
  <si>
    <t>Jacob Moore</t>
  </si>
  <si>
    <t>H</t>
  </si>
  <si>
    <t>Cameron Jackson</t>
  </si>
  <si>
    <t>Jaheim Gill</t>
  </si>
  <si>
    <t>SQUAT</t>
  </si>
  <si>
    <t>BENCH</t>
  </si>
  <si>
    <t>DEAD</t>
  </si>
  <si>
    <t>TOTAL</t>
  </si>
  <si>
    <t>Lifter</t>
  </si>
  <si>
    <t>School</t>
  </si>
  <si>
    <t>Body Wt</t>
  </si>
  <si>
    <t>Class</t>
  </si>
  <si>
    <t>Grade</t>
  </si>
  <si>
    <t>Rack</t>
  </si>
  <si>
    <t>1st</t>
  </si>
  <si>
    <t>2nd</t>
  </si>
  <si>
    <t>3rd</t>
  </si>
  <si>
    <t>2n</t>
  </si>
  <si>
    <t>2021 2A North Final Results</t>
  </si>
  <si>
    <t>Squat</t>
  </si>
  <si>
    <t>Best</t>
  </si>
  <si>
    <t>Bench</t>
  </si>
  <si>
    <t>Sub</t>
  </si>
  <si>
    <t>Total</t>
  </si>
  <si>
    <t>EUPO</t>
  </si>
  <si>
    <t>BRUC</t>
  </si>
  <si>
    <t>JZGE</t>
  </si>
  <si>
    <t>SCOT</t>
  </si>
  <si>
    <t>UNIO</t>
  </si>
  <si>
    <t>CALH</t>
  </si>
  <si>
    <t>PHIL</t>
  </si>
  <si>
    <t>MANT</t>
  </si>
  <si>
    <t>EUNI</t>
  </si>
  <si>
    <t>EWEB</t>
  </si>
  <si>
    <t>POTT</t>
  </si>
  <si>
    <t>Lot No.</t>
  </si>
  <si>
    <t>Deadlift</t>
  </si>
  <si>
    <t>Javarius McBeath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</si>
</sst>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8" x14ac:knownFonts="1"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trike/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3" fillId="3" borderId="0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3" borderId="0" xfId="0" applyFill="1" applyBorder="1"/>
    <xf numFmtId="0" fontId="0" fillId="0" borderId="0" xfId="0" applyBorder="1" applyAlignment="1" applyProtection="1">
      <alignment horizontal="center" shrinkToFit="1"/>
      <protection locked="0"/>
    </xf>
    <xf numFmtId="0" fontId="0" fillId="0" borderId="0" xfId="0" applyBorder="1" applyAlignment="1" applyProtection="1">
      <alignment horizontal="center"/>
      <protection locked="0"/>
    </xf>
    <xf numFmtId="2" fontId="0" fillId="2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 shrinkToFit="1"/>
    </xf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shrinkToFit="1"/>
      <protection locked="0"/>
    </xf>
    <xf numFmtId="0" fontId="4" fillId="3" borderId="1" xfId="0" applyFont="1" applyFill="1" applyBorder="1" applyAlignment="1" applyProtection="1">
      <alignment horizontal="center" shrinkToFit="1"/>
      <protection locked="0"/>
    </xf>
    <xf numFmtId="164" fontId="4" fillId="3" borderId="1" xfId="0" applyNumberFormat="1" applyFont="1" applyFill="1" applyBorder="1"/>
    <xf numFmtId="0" fontId="5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 shrinkToFit="1"/>
    </xf>
    <xf numFmtId="49" fontId="4" fillId="3" borderId="1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  <strike/>
        <condense val="0"/>
        <extend val="0"/>
        <color indexed="9"/>
      </font>
      <fill>
        <patternFill>
          <bgColor indexed="60"/>
        </patternFill>
      </fill>
    </dxf>
    <dxf>
      <font>
        <b/>
        <i val="0"/>
        <strike val="0"/>
        <condense val="0"/>
        <extend val="0"/>
        <color indexed="9"/>
      </font>
      <fill>
        <patternFill>
          <bgColor indexed="57"/>
        </patternFill>
      </fill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strike/>
        <condense val="0"/>
        <extend val="0"/>
        <color indexed="9"/>
      </font>
      <fill>
        <patternFill>
          <bgColor indexed="60"/>
        </patternFill>
      </fill>
    </dxf>
    <dxf>
      <font>
        <b/>
        <i val="0"/>
        <strike val="0"/>
        <condense val="0"/>
        <extend val="0"/>
        <color indexed="9"/>
      </font>
      <fill>
        <patternFill>
          <bgColor indexed="57"/>
        </patternFill>
      </fill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strike/>
        <condense val="0"/>
        <extend val="0"/>
        <color indexed="9"/>
      </font>
      <fill>
        <patternFill>
          <bgColor indexed="60"/>
        </patternFill>
      </fill>
    </dxf>
    <dxf>
      <font>
        <b/>
        <i val="0"/>
        <strike val="0"/>
        <condense val="0"/>
        <extend val="0"/>
        <color indexed="9"/>
      </font>
      <fill>
        <patternFill>
          <bgColor indexed="57"/>
        </patternFill>
      </fill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strike/>
        <condense val="0"/>
        <extend val="0"/>
        <color indexed="9"/>
      </font>
      <fill>
        <patternFill>
          <bgColor indexed="60"/>
        </patternFill>
      </fill>
    </dxf>
    <dxf>
      <font>
        <b/>
        <i val="0"/>
        <strike val="0"/>
        <condense val="0"/>
        <extend val="0"/>
        <color indexed="9"/>
      </font>
      <fill>
        <patternFill>
          <bgColor indexed="57"/>
        </patternFill>
      </fill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strike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9"/>
        </patternFill>
      </fill>
    </dxf>
    <dxf>
      <font>
        <b/>
        <i val="0"/>
        <condense val="0"/>
        <extend val="0"/>
      </font>
      <fill>
        <patternFill>
          <bgColor indexed="9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strike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strike val="0"/>
        <condense val="0"/>
        <extend val="0"/>
      </font>
      <fill>
        <patternFill>
          <bgColor indexed="13"/>
        </patternFill>
      </fill>
    </dxf>
    <dxf>
      <font>
        <b/>
        <i val="0"/>
        <strike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  <fill>
        <patternFill patternType="solid">
          <bgColor indexed="13"/>
        </patternFill>
      </fill>
    </dxf>
    <dxf>
      <font>
        <b/>
        <i val="0"/>
        <strike/>
        <condense val="0"/>
        <extend val="0"/>
        <color indexed="9"/>
      </font>
      <fill>
        <patternFill>
          <bgColor indexed="60"/>
        </patternFill>
      </fill>
    </dxf>
    <dxf>
      <font>
        <b/>
        <i val="0"/>
        <strike val="0"/>
        <condense val="0"/>
        <extend val="0"/>
        <color indexed="9"/>
      </font>
      <fill>
        <patternFill>
          <bgColor indexed="57"/>
        </patternFill>
      </fill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A%20North%20Half%20FINAL%20flights%20A%20C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A%20North%20Flights%20B%20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 Rulebook"/>
      <sheetName val="Instructions"/>
      <sheetName val="Setup"/>
      <sheetName val="Lists"/>
      <sheetName val="Weigh-In"/>
      <sheetName val="DATA"/>
      <sheetName val="Lifting"/>
      <sheetName val="Sub-total sheet"/>
      <sheetName val="LoadingChart"/>
      <sheetName val="ContestResults"/>
      <sheetName val="QuickPrint"/>
      <sheetName val="Awards"/>
      <sheetName val="Team Scoring"/>
    </sheetNames>
    <sheetDataSet>
      <sheetData sheetId="0"/>
      <sheetData sheetId="1"/>
      <sheetData sheetId="2">
        <row r="3">
          <cell r="B3" t="str">
            <v>2A North Half</v>
          </cell>
        </row>
        <row r="4">
          <cell r="B4"/>
        </row>
        <row r="7">
          <cell r="B7" t="str">
            <v>Powerlifting (3 lift meet)</v>
          </cell>
        </row>
        <row r="8">
          <cell r="B8"/>
        </row>
        <row r="11">
          <cell r="B11" t="str">
            <v>M/F-Div</v>
          </cell>
        </row>
        <row r="12">
          <cell r="B12" t="str">
            <v>M-BL</v>
          </cell>
        </row>
        <row r="13">
          <cell r="B13" t="str">
            <v>F-BL</v>
          </cell>
        </row>
        <row r="14">
          <cell r="B14"/>
        </row>
        <row r="15">
          <cell r="B15"/>
        </row>
        <row r="16">
          <cell r="B16"/>
        </row>
        <row r="17">
          <cell r="B17"/>
        </row>
        <row r="18">
          <cell r="B18"/>
        </row>
        <row r="19">
          <cell r="B19"/>
        </row>
        <row r="20">
          <cell r="B20"/>
        </row>
        <row r="21">
          <cell r="B21"/>
        </row>
        <row r="22">
          <cell r="B22"/>
        </row>
        <row r="23">
          <cell r="B23"/>
        </row>
        <row r="24">
          <cell r="B24"/>
        </row>
        <row r="25">
          <cell r="B25"/>
        </row>
        <row r="26">
          <cell r="B26"/>
        </row>
        <row r="27">
          <cell r="B27"/>
        </row>
        <row r="28">
          <cell r="B28"/>
        </row>
        <row r="29">
          <cell r="B29"/>
        </row>
        <row r="30">
          <cell r="B30"/>
        </row>
        <row r="31">
          <cell r="B31"/>
        </row>
        <row r="32">
          <cell r="B32"/>
        </row>
        <row r="33">
          <cell r="B33"/>
        </row>
        <row r="34">
          <cell r="B34"/>
        </row>
        <row r="35">
          <cell r="B35"/>
        </row>
        <row r="36">
          <cell r="B36"/>
        </row>
        <row r="37">
          <cell r="B37"/>
        </row>
        <row r="38">
          <cell r="B38"/>
        </row>
        <row r="39">
          <cell r="B39"/>
        </row>
        <row r="40">
          <cell r="B40"/>
        </row>
      </sheetData>
      <sheetData sheetId="3"/>
      <sheetData sheetId="4"/>
      <sheetData sheetId="5">
        <row r="2">
          <cell r="A2">
            <v>14</v>
          </cell>
          <cell r="B2">
            <v>1.23</v>
          </cell>
        </row>
        <row r="3">
          <cell r="A3">
            <v>15</v>
          </cell>
          <cell r="B3">
            <v>1.18</v>
          </cell>
          <cell r="D3">
            <v>15</v>
          </cell>
          <cell r="E3">
            <v>123</v>
          </cell>
          <cell r="F3">
            <v>105</v>
          </cell>
          <cell r="G3">
            <v>114</v>
          </cell>
          <cell r="H3">
            <v>97</v>
          </cell>
        </row>
        <row r="4">
          <cell r="A4">
            <v>16</v>
          </cell>
          <cell r="B4">
            <v>1.1299999999999999</v>
          </cell>
          <cell r="D4">
            <v>44.3</v>
          </cell>
          <cell r="E4">
            <v>123</v>
          </cell>
          <cell r="F4">
            <v>105</v>
          </cell>
          <cell r="G4">
            <v>114</v>
          </cell>
          <cell r="H4">
            <v>105</v>
          </cell>
        </row>
        <row r="5">
          <cell r="A5">
            <v>17</v>
          </cell>
          <cell r="B5">
            <v>1.08</v>
          </cell>
          <cell r="D5">
            <v>47.9</v>
          </cell>
          <cell r="E5">
            <v>123</v>
          </cell>
          <cell r="F5">
            <v>114</v>
          </cell>
          <cell r="G5">
            <v>114</v>
          </cell>
          <cell r="H5">
            <v>114</v>
          </cell>
        </row>
        <row r="6">
          <cell r="A6">
            <v>18</v>
          </cell>
          <cell r="B6">
            <v>1.06</v>
          </cell>
          <cell r="D6">
            <v>51.99</v>
          </cell>
          <cell r="E6">
            <v>123</v>
          </cell>
          <cell r="F6">
            <v>123</v>
          </cell>
          <cell r="G6">
            <v>123</v>
          </cell>
          <cell r="H6">
            <v>123</v>
          </cell>
        </row>
        <row r="7">
          <cell r="A7">
            <v>19</v>
          </cell>
          <cell r="B7">
            <v>1.04</v>
          </cell>
          <cell r="D7">
            <v>56.07</v>
          </cell>
          <cell r="E7">
            <v>132</v>
          </cell>
          <cell r="F7">
            <v>132</v>
          </cell>
          <cell r="G7">
            <v>132</v>
          </cell>
          <cell r="H7">
            <v>132</v>
          </cell>
        </row>
        <row r="8">
          <cell r="A8">
            <v>20</v>
          </cell>
          <cell r="B8">
            <v>1.03</v>
          </cell>
          <cell r="D8">
            <v>60.15</v>
          </cell>
          <cell r="E8">
            <v>148</v>
          </cell>
          <cell r="F8">
            <v>148</v>
          </cell>
          <cell r="G8">
            <v>148</v>
          </cell>
          <cell r="H8">
            <v>148</v>
          </cell>
        </row>
        <row r="9">
          <cell r="A9">
            <v>21</v>
          </cell>
          <cell r="B9">
            <v>1.02</v>
          </cell>
          <cell r="D9">
            <v>67.5</v>
          </cell>
          <cell r="E9">
            <v>165</v>
          </cell>
          <cell r="F9">
            <v>165</v>
          </cell>
          <cell r="G9">
            <v>165</v>
          </cell>
          <cell r="H9">
            <v>165</v>
          </cell>
        </row>
        <row r="10">
          <cell r="A10">
            <v>22</v>
          </cell>
          <cell r="B10">
            <v>1.01</v>
          </cell>
          <cell r="D10">
            <v>75.03</v>
          </cell>
          <cell r="E10">
            <v>181</v>
          </cell>
          <cell r="F10">
            <v>181</v>
          </cell>
          <cell r="G10">
            <v>181</v>
          </cell>
          <cell r="H10">
            <v>181</v>
          </cell>
        </row>
        <row r="11">
          <cell r="A11">
            <v>23</v>
          </cell>
          <cell r="B11">
            <v>1</v>
          </cell>
          <cell r="D11">
            <v>82.465000000000003</v>
          </cell>
          <cell r="E11">
            <v>198</v>
          </cell>
          <cell r="F11">
            <v>198</v>
          </cell>
          <cell r="G11">
            <v>198</v>
          </cell>
          <cell r="H11">
            <v>198</v>
          </cell>
        </row>
        <row r="12">
          <cell r="A12">
            <v>30</v>
          </cell>
          <cell r="B12">
            <v>1</v>
          </cell>
          <cell r="D12">
            <v>89.994</v>
          </cell>
          <cell r="E12">
            <v>220</v>
          </cell>
          <cell r="F12" t="str">
            <v>220</v>
          </cell>
          <cell r="G12">
            <v>220</v>
          </cell>
          <cell r="H12" t="str">
            <v>220</v>
          </cell>
        </row>
        <row r="13">
          <cell r="A13">
            <v>40</v>
          </cell>
          <cell r="B13">
            <v>1</v>
          </cell>
          <cell r="D13">
            <v>99.98</v>
          </cell>
          <cell r="E13">
            <v>242</v>
          </cell>
          <cell r="F13" t="str">
            <v>220+</v>
          </cell>
          <cell r="G13">
            <v>242</v>
          </cell>
          <cell r="H13" t="str">
            <v>220+</v>
          </cell>
        </row>
        <row r="14">
          <cell r="A14">
            <v>41</v>
          </cell>
          <cell r="B14">
            <v>1.01</v>
          </cell>
          <cell r="D14">
            <v>110.05</v>
          </cell>
          <cell r="E14">
            <v>275</v>
          </cell>
          <cell r="F14" t="str">
            <v>220+</v>
          </cell>
          <cell r="G14">
            <v>275</v>
          </cell>
          <cell r="H14" t="str">
            <v>220+</v>
          </cell>
        </row>
        <row r="15">
          <cell r="A15">
            <v>42</v>
          </cell>
          <cell r="B15">
            <v>1.02</v>
          </cell>
          <cell r="D15">
            <v>125.02</v>
          </cell>
          <cell r="E15" t="str">
            <v>308</v>
          </cell>
          <cell r="F15" t="str">
            <v>220+</v>
          </cell>
          <cell r="G15" t="str">
            <v>308</v>
          </cell>
          <cell r="H15" t="str">
            <v>220+</v>
          </cell>
        </row>
        <row r="16">
          <cell r="A16">
            <v>43</v>
          </cell>
          <cell r="B16">
            <v>1.0309999999999999</v>
          </cell>
          <cell r="D16">
            <v>139.99</v>
          </cell>
          <cell r="E16" t="str">
            <v>308+</v>
          </cell>
          <cell r="F16" t="str">
            <v>220+</v>
          </cell>
          <cell r="G16" t="str">
            <v>308+</v>
          </cell>
          <cell r="H16" t="str">
            <v>220+</v>
          </cell>
        </row>
        <row r="17">
          <cell r="A17">
            <v>44</v>
          </cell>
          <cell r="B17">
            <v>1.0429999999999999</v>
          </cell>
        </row>
        <row r="18">
          <cell r="A18">
            <v>45</v>
          </cell>
          <cell r="B18">
            <v>1.0549999999999999</v>
          </cell>
        </row>
        <row r="19">
          <cell r="A19">
            <v>46</v>
          </cell>
          <cell r="B19">
            <v>1.0680000000000001</v>
          </cell>
        </row>
        <row r="20">
          <cell r="A20">
            <v>47</v>
          </cell>
          <cell r="B20">
            <v>1.0820000000000001</v>
          </cell>
        </row>
        <row r="21">
          <cell r="A21">
            <v>48</v>
          </cell>
          <cell r="B21">
            <v>1.097</v>
          </cell>
        </row>
        <row r="22">
          <cell r="A22">
            <v>49</v>
          </cell>
          <cell r="B22">
            <v>1.113</v>
          </cell>
        </row>
        <row r="23">
          <cell r="A23">
            <v>50</v>
          </cell>
          <cell r="B23">
            <v>1.1299999999999999</v>
          </cell>
        </row>
        <row r="24">
          <cell r="A24">
            <v>51</v>
          </cell>
          <cell r="B24">
            <v>1.147</v>
          </cell>
        </row>
        <row r="25">
          <cell r="A25">
            <v>52</v>
          </cell>
          <cell r="B25">
            <v>1.165</v>
          </cell>
        </row>
        <row r="26">
          <cell r="A26">
            <v>53</v>
          </cell>
          <cell r="B26">
            <v>1.1839999999999999</v>
          </cell>
        </row>
        <row r="27">
          <cell r="A27">
            <v>54</v>
          </cell>
          <cell r="B27">
            <v>1.204</v>
          </cell>
        </row>
        <row r="28">
          <cell r="A28">
            <v>55</v>
          </cell>
          <cell r="B28">
            <v>1.2250000000000001</v>
          </cell>
        </row>
        <row r="29">
          <cell r="A29">
            <v>56</v>
          </cell>
          <cell r="B29">
            <v>1.246</v>
          </cell>
        </row>
        <row r="30">
          <cell r="A30">
            <v>57</v>
          </cell>
          <cell r="B30">
            <v>1.258</v>
          </cell>
        </row>
        <row r="31">
          <cell r="A31">
            <v>58</v>
          </cell>
          <cell r="B31">
            <v>1.292</v>
          </cell>
        </row>
        <row r="32">
          <cell r="A32">
            <v>59</v>
          </cell>
          <cell r="B32">
            <v>1.3149999999999999</v>
          </cell>
        </row>
        <row r="33">
          <cell r="A33">
            <v>60</v>
          </cell>
          <cell r="B33">
            <v>1.34</v>
          </cell>
        </row>
        <row r="34">
          <cell r="A34">
            <v>61</v>
          </cell>
          <cell r="B34">
            <v>1.3660000000000001</v>
          </cell>
        </row>
        <row r="35">
          <cell r="A35">
            <v>62</v>
          </cell>
          <cell r="B35">
            <v>1.393</v>
          </cell>
        </row>
        <row r="36">
          <cell r="A36">
            <v>63</v>
          </cell>
          <cell r="B36">
            <v>1.421</v>
          </cell>
        </row>
        <row r="37">
          <cell r="A37">
            <v>64</v>
          </cell>
          <cell r="B37">
            <v>1.45</v>
          </cell>
        </row>
        <row r="38">
          <cell r="A38">
            <v>65</v>
          </cell>
          <cell r="B38">
            <v>1.48</v>
          </cell>
        </row>
        <row r="39">
          <cell r="A39">
            <v>66</v>
          </cell>
          <cell r="B39">
            <v>1.5109999999999999</v>
          </cell>
        </row>
        <row r="40">
          <cell r="A40">
            <v>67</v>
          </cell>
          <cell r="B40">
            <v>1.5429999999999999</v>
          </cell>
        </row>
        <row r="41">
          <cell r="A41">
            <v>68</v>
          </cell>
          <cell r="B41">
            <v>1.5780000000000001</v>
          </cell>
        </row>
        <row r="42">
          <cell r="A42">
            <v>69</v>
          </cell>
          <cell r="B42">
            <v>1.61</v>
          </cell>
        </row>
        <row r="43">
          <cell r="A43">
            <v>70</v>
          </cell>
          <cell r="B43">
            <v>1.645</v>
          </cell>
        </row>
        <row r="44">
          <cell r="A44">
            <v>71</v>
          </cell>
          <cell r="B44">
            <v>1.681</v>
          </cell>
        </row>
        <row r="45">
          <cell r="A45">
            <v>72</v>
          </cell>
          <cell r="B45">
            <v>1.718</v>
          </cell>
        </row>
        <row r="46">
          <cell r="A46">
            <v>73</v>
          </cell>
          <cell r="B46">
            <v>1.756</v>
          </cell>
        </row>
        <row r="47">
          <cell r="A47">
            <v>74</v>
          </cell>
          <cell r="B47">
            <v>1.7949999999999999</v>
          </cell>
        </row>
        <row r="48">
          <cell r="A48">
            <v>75</v>
          </cell>
          <cell r="B48">
            <v>1.835</v>
          </cell>
        </row>
        <row r="49">
          <cell r="A49">
            <v>76</v>
          </cell>
          <cell r="B49">
            <v>1.8759999999999999</v>
          </cell>
        </row>
        <row r="50">
          <cell r="A50">
            <v>77</v>
          </cell>
          <cell r="B50">
            <v>1.9179999999999999</v>
          </cell>
        </row>
        <row r="51">
          <cell r="A51">
            <v>78</v>
          </cell>
          <cell r="B51">
            <v>1.9610000000000001</v>
          </cell>
        </row>
        <row r="52">
          <cell r="A52">
            <v>79</v>
          </cell>
          <cell r="B52">
            <v>2.0049999999999999</v>
          </cell>
        </row>
        <row r="53">
          <cell r="A53">
            <v>80</v>
          </cell>
          <cell r="B53">
            <v>2.0499999999999998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 Rulebook"/>
      <sheetName val="Instructions"/>
      <sheetName val="Setup"/>
      <sheetName val="Lists"/>
      <sheetName val="Weigh-In"/>
      <sheetName val="DATA"/>
      <sheetName val="Lifting"/>
      <sheetName val="Sub-total sheet"/>
      <sheetName val="LoadingChart"/>
      <sheetName val="ContestResults"/>
      <sheetName val="QuickPrint"/>
      <sheetName val="Awards"/>
      <sheetName val="Team Scoring"/>
    </sheetNames>
    <sheetDataSet>
      <sheetData sheetId="0"/>
      <sheetData sheetId="1"/>
      <sheetData sheetId="2">
        <row r="3">
          <cell r="B3" t="str">
            <v>2A North Half</v>
          </cell>
        </row>
        <row r="4">
          <cell r="B4"/>
        </row>
        <row r="7">
          <cell r="B7" t="str">
            <v>Powerlifting (3 lift meet)</v>
          </cell>
        </row>
        <row r="8">
          <cell r="B8"/>
        </row>
        <row r="11">
          <cell r="B11" t="str">
            <v>M/F-Div</v>
          </cell>
        </row>
        <row r="12">
          <cell r="B12" t="str">
            <v>M-BL</v>
          </cell>
        </row>
        <row r="13">
          <cell r="B13" t="str">
            <v>F-BL</v>
          </cell>
        </row>
        <row r="14">
          <cell r="B14"/>
        </row>
        <row r="15">
          <cell r="B15"/>
        </row>
        <row r="16">
          <cell r="B16"/>
        </row>
        <row r="17">
          <cell r="B17"/>
        </row>
        <row r="18">
          <cell r="B18"/>
        </row>
        <row r="19">
          <cell r="B19"/>
        </row>
        <row r="20">
          <cell r="B20"/>
        </row>
        <row r="21">
          <cell r="B21"/>
        </row>
        <row r="22">
          <cell r="B22"/>
        </row>
        <row r="23">
          <cell r="B23"/>
        </row>
        <row r="24">
          <cell r="B24"/>
        </row>
        <row r="25">
          <cell r="B25"/>
        </row>
        <row r="26">
          <cell r="B26"/>
        </row>
        <row r="27">
          <cell r="B27"/>
        </row>
        <row r="28">
          <cell r="B28"/>
        </row>
        <row r="29">
          <cell r="B29"/>
        </row>
        <row r="30">
          <cell r="B30"/>
        </row>
        <row r="31">
          <cell r="B31"/>
        </row>
        <row r="32">
          <cell r="B32"/>
        </row>
        <row r="33">
          <cell r="B33"/>
        </row>
        <row r="34">
          <cell r="B34"/>
        </row>
        <row r="35">
          <cell r="B35"/>
        </row>
        <row r="36">
          <cell r="B36"/>
        </row>
        <row r="37">
          <cell r="B37"/>
        </row>
        <row r="38">
          <cell r="B38"/>
        </row>
        <row r="39">
          <cell r="B39"/>
        </row>
        <row r="40">
          <cell r="B40"/>
        </row>
      </sheetData>
      <sheetData sheetId="3"/>
      <sheetData sheetId="4"/>
      <sheetData sheetId="5">
        <row r="2">
          <cell r="A2">
            <v>14</v>
          </cell>
          <cell r="B2">
            <v>1.23</v>
          </cell>
        </row>
        <row r="3">
          <cell r="A3">
            <v>15</v>
          </cell>
          <cell r="B3">
            <v>1.18</v>
          </cell>
          <cell r="D3">
            <v>15</v>
          </cell>
          <cell r="E3">
            <v>123</v>
          </cell>
          <cell r="F3">
            <v>105</v>
          </cell>
          <cell r="G3">
            <v>114</v>
          </cell>
          <cell r="H3">
            <v>97</v>
          </cell>
        </row>
        <row r="4">
          <cell r="A4">
            <v>16</v>
          </cell>
          <cell r="B4">
            <v>1.1299999999999999</v>
          </cell>
          <cell r="D4">
            <v>44.3</v>
          </cell>
          <cell r="E4">
            <v>123</v>
          </cell>
          <cell r="F4">
            <v>105</v>
          </cell>
          <cell r="G4">
            <v>114</v>
          </cell>
          <cell r="H4">
            <v>105</v>
          </cell>
        </row>
        <row r="5">
          <cell r="A5">
            <v>17</v>
          </cell>
          <cell r="B5">
            <v>1.08</v>
          </cell>
          <cell r="D5">
            <v>47.9</v>
          </cell>
          <cell r="E5">
            <v>123</v>
          </cell>
          <cell r="F5">
            <v>114</v>
          </cell>
          <cell r="G5">
            <v>114</v>
          </cell>
          <cell r="H5">
            <v>114</v>
          </cell>
        </row>
        <row r="6">
          <cell r="A6">
            <v>18</v>
          </cell>
          <cell r="B6">
            <v>1.06</v>
          </cell>
          <cell r="D6">
            <v>51.99</v>
          </cell>
          <cell r="E6">
            <v>123</v>
          </cell>
          <cell r="F6">
            <v>123</v>
          </cell>
          <cell r="G6">
            <v>123</v>
          </cell>
          <cell r="H6">
            <v>123</v>
          </cell>
        </row>
        <row r="7">
          <cell r="A7">
            <v>19</v>
          </cell>
          <cell r="B7">
            <v>1.04</v>
          </cell>
          <cell r="D7">
            <v>56.07</v>
          </cell>
          <cell r="E7">
            <v>132</v>
          </cell>
          <cell r="F7">
            <v>132</v>
          </cell>
          <cell r="G7">
            <v>132</v>
          </cell>
          <cell r="H7">
            <v>132</v>
          </cell>
        </row>
        <row r="8">
          <cell r="A8">
            <v>20</v>
          </cell>
          <cell r="B8">
            <v>1.03</v>
          </cell>
          <cell r="D8">
            <v>60.15</v>
          </cell>
          <cell r="E8">
            <v>148</v>
          </cell>
          <cell r="F8">
            <v>148</v>
          </cell>
          <cell r="G8">
            <v>148</v>
          </cell>
          <cell r="H8">
            <v>148</v>
          </cell>
        </row>
        <row r="9">
          <cell r="A9">
            <v>21</v>
          </cell>
          <cell r="B9">
            <v>1.02</v>
          </cell>
          <cell r="D9">
            <v>67.5</v>
          </cell>
          <cell r="E9">
            <v>165</v>
          </cell>
          <cell r="F9">
            <v>165</v>
          </cell>
          <cell r="G9">
            <v>165</v>
          </cell>
          <cell r="H9">
            <v>165</v>
          </cell>
        </row>
        <row r="10">
          <cell r="A10">
            <v>22</v>
          </cell>
          <cell r="B10">
            <v>1.01</v>
          </cell>
          <cell r="D10">
            <v>75.03</v>
          </cell>
          <cell r="E10">
            <v>181</v>
          </cell>
          <cell r="F10">
            <v>181</v>
          </cell>
          <cell r="G10">
            <v>181</v>
          </cell>
          <cell r="H10">
            <v>181</v>
          </cell>
        </row>
        <row r="11">
          <cell r="A11">
            <v>23</v>
          </cell>
          <cell r="B11">
            <v>1</v>
          </cell>
          <cell r="D11">
            <v>82.465000000000003</v>
          </cell>
          <cell r="E11">
            <v>198</v>
          </cell>
          <cell r="F11">
            <v>198</v>
          </cell>
          <cell r="G11">
            <v>198</v>
          </cell>
          <cell r="H11">
            <v>198</v>
          </cell>
        </row>
        <row r="12">
          <cell r="A12">
            <v>30</v>
          </cell>
          <cell r="B12">
            <v>1</v>
          </cell>
          <cell r="D12">
            <v>89.994</v>
          </cell>
          <cell r="E12">
            <v>220</v>
          </cell>
          <cell r="F12" t="str">
            <v>220</v>
          </cell>
          <cell r="G12">
            <v>220</v>
          </cell>
          <cell r="H12" t="str">
            <v>220</v>
          </cell>
        </row>
        <row r="13">
          <cell r="A13">
            <v>40</v>
          </cell>
          <cell r="B13">
            <v>1</v>
          </cell>
          <cell r="D13">
            <v>99.98</v>
          </cell>
          <cell r="E13">
            <v>242</v>
          </cell>
          <cell r="F13" t="str">
            <v>220+</v>
          </cell>
          <cell r="G13">
            <v>242</v>
          </cell>
          <cell r="H13" t="str">
            <v>220+</v>
          </cell>
        </row>
        <row r="14">
          <cell r="A14">
            <v>41</v>
          </cell>
          <cell r="B14">
            <v>1.01</v>
          </cell>
          <cell r="D14">
            <v>110.05</v>
          </cell>
          <cell r="E14">
            <v>275</v>
          </cell>
          <cell r="F14" t="str">
            <v>220+</v>
          </cell>
          <cell r="G14">
            <v>275</v>
          </cell>
          <cell r="H14" t="str">
            <v>220+</v>
          </cell>
        </row>
        <row r="15">
          <cell r="A15">
            <v>42</v>
          </cell>
          <cell r="B15">
            <v>1.02</v>
          </cell>
          <cell r="D15">
            <v>125.02</v>
          </cell>
          <cell r="E15" t="str">
            <v>308</v>
          </cell>
          <cell r="F15" t="str">
            <v>220+</v>
          </cell>
          <cell r="G15" t="str">
            <v>308</v>
          </cell>
          <cell r="H15" t="str">
            <v>220+</v>
          </cell>
        </row>
        <row r="16">
          <cell r="A16">
            <v>43</v>
          </cell>
          <cell r="B16">
            <v>1.0309999999999999</v>
          </cell>
          <cell r="D16">
            <v>139.99</v>
          </cell>
          <cell r="E16" t="str">
            <v>308+</v>
          </cell>
          <cell r="F16" t="str">
            <v>220+</v>
          </cell>
          <cell r="G16" t="str">
            <v>308+</v>
          </cell>
          <cell r="H16" t="str">
            <v>220+</v>
          </cell>
        </row>
        <row r="17">
          <cell r="A17">
            <v>44</v>
          </cell>
          <cell r="B17">
            <v>1.0429999999999999</v>
          </cell>
        </row>
        <row r="18">
          <cell r="A18">
            <v>45</v>
          </cell>
          <cell r="B18">
            <v>1.0549999999999999</v>
          </cell>
        </row>
        <row r="19">
          <cell r="A19">
            <v>46</v>
          </cell>
          <cell r="B19">
            <v>1.0680000000000001</v>
          </cell>
        </row>
        <row r="20">
          <cell r="A20">
            <v>47</v>
          </cell>
          <cell r="B20">
            <v>1.0820000000000001</v>
          </cell>
        </row>
        <row r="21">
          <cell r="A21">
            <v>48</v>
          </cell>
          <cell r="B21">
            <v>1.097</v>
          </cell>
        </row>
        <row r="22">
          <cell r="A22">
            <v>49</v>
          </cell>
          <cell r="B22">
            <v>1.113</v>
          </cell>
        </row>
        <row r="23">
          <cell r="A23">
            <v>50</v>
          </cell>
          <cell r="B23">
            <v>1.1299999999999999</v>
          </cell>
        </row>
        <row r="24">
          <cell r="A24">
            <v>51</v>
          </cell>
          <cell r="B24">
            <v>1.147</v>
          </cell>
        </row>
        <row r="25">
          <cell r="A25">
            <v>52</v>
          </cell>
          <cell r="B25">
            <v>1.165</v>
          </cell>
        </row>
        <row r="26">
          <cell r="A26">
            <v>53</v>
          </cell>
          <cell r="B26">
            <v>1.1839999999999999</v>
          </cell>
        </row>
        <row r="27">
          <cell r="A27">
            <v>54</v>
          </cell>
          <cell r="B27">
            <v>1.204</v>
          </cell>
        </row>
        <row r="28">
          <cell r="A28">
            <v>55</v>
          </cell>
          <cell r="B28">
            <v>1.2250000000000001</v>
          </cell>
        </row>
        <row r="29">
          <cell r="A29">
            <v>56</v>
          </cell>
          <cell r="B29">
            <v>1.246</v>
          </cell>
        </row>
        <row r="30">
          <cell r="A30">
            <v>57</v>
          </cell>
          <cell r="B30">
            <v>1.258</v>
          </cell>
        </row>
        <row r="31">
          <cell r="A31">
            <v>58</v>
          </cell>
          <cell r="B31">
            <v>1.292</v>
          </cell>
        </row>
        <row r="32">
          <cell r="A32">
            <v>59</v>
          </cell>
          <cell r="B32">
            <v>1.3149999999999999</v>
          </cell>
        </row>
        <row r="33">
          <cell r="A33">
            <v>60</v>
          </cell>
          <cell r="B33">
            <v>1.34</v>
          </cell>
        </row>
        <row r="34">
          <cell r="A34">
            <v>61</v>
          </cell>
          <cell r="B34">
            <v>1.3660000000000001</v>
          </cell>
        </row>
        <row r="35">
          <cell r="A35">
            <v>62</v>
          </cell>
          <cell r="B35">
            <v>1.393</v>
          </cell>
        </row>
        <row r="36">
          <cell r="A36">
            <v>63</v>
          </cell>
          <cell r="B36">
            <v>1.421</v>
          </cell>
        </row>
        <row r="37">
          <cell r="A37">
            <v>64</v>
          </cell>
          <cell r="B37">
            <v>1.45</v>
          </cell>
        </row>
        <row r="38">
          <cell r="A38">
            <v>65</v>
          </cell>
          <cell r="B38">
            <v>1.48</v>
          </cell>
        </row>
        <row r="39">
          <cell r="A39">
            <v>66</v>
          </cell>
          <cell r="B39">
            <v>1.5109999999999999</v>
          </cell>
        </row>
        <row r="40">
          <cell r="A40">
            <v>67</v>
          </cell>
          <cell r="B40">
            <v>1.5429999999999999</v>
          </cell>
        </row>
        <row r="41">
          <cell r="A41">
            <v>68</v>
          </cell>
          <cell r="B41">
            <v>1.5780000000000001</v>
          </cell>
        </row>
        <row r="42">
          <cell r="A42">
            <v>69</v>
          </cell>
          <cell r="B42">
            <v>1.61</v>
          </cell>
        </row>
        <row r="43">
          <cell r="A43">
            <v>70</v>
          </cell>
          <cell r="B43">
            <v>1.645</v>
          </cell>
        </row>
        <row r="44">
          <cell r="A44">
            <v>71</v>
          </cell>
          <cell r="B44">
            <v>1.681</v>
          </cell>
        </row>
        <row r="45">
          <cell r="A45">
            <v>72</v>
          </cell>
          <cell r="B45">
            <v>1.718</v>
          </cell>
        </row>
        <row r="46">
          <cell r="A46">
            <v>73</v>
          </cell>
          <cell r="B46">
            <v>1.756</v>
          </cell>
        </row>
        <row r="47">
          <cell r="A47">
            <v>74</v>
          </cell>
          <cell r="B47">
            <v>1.7949999999999999</v>
          </cell>
        </row>
        <row r="48">
          <cell r="A48">
            <v>75</v>
          </cell>
          <cell r="B48">
            <v>1.835</v>
          </cell>
        </row>
        <row r="49">
          <cell r="A49">
            <v>76</v>
          </cell>
          <cell r="B49">
            <v>1.8759999999999999</v>
          </cell>
        </row>
        <row r="50">
          <cell r="A50">
            <v>77</v>
          </cell>
          <cell r="B50">
            <v>1.9179999999999999</v>
          </cell>
        </row>
        <row r="51">
          <cell r="A51">
            <v>78</v>
          </cell>
          <cell r="B51">
            <v>1.9610000000000001</v>
          </cell>
        </row>
        <row r="52">
          <cell r="A52">
            <v>79</v>
          </cell>
          <cell r="B52">
            <v>2.0049999999999999</v>
          </cell>
        </row>
        <row r="53">
          <cell r="A53">
            <v>80</v>
          </cell>
          <cell r="B53">
            <v>2.0499999999999998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41D16-7104-4C2B-A02F-5BC7AB1449DA}">
  <dimension ref="A1:BZ61"/>
  <sheetViews>
    <sheetView tabSelected="1" workbookViewId="0">
      <selection activeCell="E10" sqref="E10"/>
    </sheetView>
  </sheetViews>
  <sheetFormatPr defaultRowHeight="15" x14ac:dyDescent="0.25"/>
  <cols>
    <col min="1" max="1" width="8" style="2" customWidth="1"/>
    <col min="2" max="2" width="19.42578125" style="6" customWidth="1"/>
    <col min="3" max="3" width="6" style="4" customWidth="1"/>
    <col min="4" max="4" width="0" style="4" hidden="1" customWidth="1"/>
    <col min="5" max="6" width="9.140625" style="5"/>
    <col min="7" max="8" width="0" style="4" hidden="1" customWidth="1"/>
    <col min="9" max="9" width="9.140625" style="5"/>
    <col min="10" max="11" width="0" style="4" hidden="1" customWidth="1"/>
    <col min="12" max="15" width="9.140625" style="5"/>
    <col min="16" max="16" width="0" style="5" hidden="1" customWidth="1"/>
    <col min="17" max="26" width="9.140625" style="5"/>
    <col min="27" max="79" width="0" style="4" hidden="1" customWidth="1"/>
    <col min="80" max="16384" width="9.140625" style="4"/>
  </cols>
  <sheetData>
    <row r="1" spans="1:78" ht="23.25" x14ac:dyDescent="0.35">
      <c r="B1" s="3" t="s">
        <v>65</v>
      </c>
    </row>
    <row r="2" spans="1:78" x14ac:dyDescent="0.25">
      <c r="A2" s="14"/>
      <c r="B2" s="15"/>
      <c r="C2" s="15"/>
      <c r="D2" s="15"/>
      <c r="E2" s="14"/>
      <c r="F2" s="14"/>
      <c r="G2" s="15"/>
      <c r="H2" s="15"/>
      <c r="I2" s="14"/>
      <c r="J2" s="15"/>
      <c r="K2" s="15"/>
      <c r="L2" s="14"/>
      <c r="M2" s="14" t="s">
        <v>66</v>
      </c>
      <c r="N2" s="14"/>
      <c r="O2" s="14" t="s">
        <v>67</v>
      </c>
      <c r="P2" s="14"/>
      <c r="Q2" s="14"/>
      <c r="R2" s="14" t="s">
        <v>68</v>
      </c>
      <c r="S2" s="14"/>
      <c r="T2" s="14" t="s">
        <v>67</v>
      </c>
      <c r="U2" s="14" t="s">
        <v>69</v>
      </c>
      <c r="V2" s="14"/>
      <c r="W2" s="14" t="s">
        <v>83</v>
      </c>
      <c r="X2" s="14"/>
      <c r="Y2" s="14" t="s">
        <v>67</v>
      </c>
      <c r="Z2" s="14"/>
    </row>
    <row r="3" spans="1:78" x14ac:dyDescent="0.25">
      <c r="A3" s="14"/>
      <c r="B3" s="15" t="s">
        <v>55</v>
      </c>
      <c r="C3" s="15" t="s">
        <v>56</v>
      </c>
      <c r="D3" s="15"/>
      <c r="E3" s="14" t="s">
        <v>57</v>
      </c>
      <c r="F3" s="14" t="s">
        <v>58</v>
      </c>
      <c r="G3" s="15" t="s">
        <v>82</v>
      </c>
      <c r="H3" s="15"/>
      <c r="I3" s="14" t="s">
        <v>59</v>
      </c>
      <c r="J3" s="15"/>
      <c r="K3" s="15" t="s">
        <v>60</v>
      </c>
      <c r="L3" s="14" t="s">
        <v>61</v>
      </c>
      <c r="M3" s="14" t="s">
        <v>62</v>
      </c>
      <c r="N3" s="14" t="s">
        <v>63</v>
      </c>
      <c r="O3" s="14" t="s">
        <v>51</v>
      </c>
      <c r="P3" s="14"/>
      <c r="Q3" s="14" t="s">
        <v>61</v>
      </c>
      <c r="R3" s="14" t="s">
        <v>62</v>
      </c>
      <c r="S3" s="14" t="s">
        <v>63</v>
      </c>
      <c r="T3" s="14" t="s">
        <v>52</v>
      </c>
      <c r="U3" s="14" t="s">
        <v>70</v>
      </c>
      <c r="V3" s="14" t="s">
        <v>61</v>
      </c>
      <c r="W3" s="14" t="s">
        <v>62</v>
      </c>
      <c r="X3" s="14" t="s">
        <v>63</v>
      </c>
      <c r="Y3" s="14" t="s">
        <v>53</v>
      </c>
      <c r="Z3" s="14" t="s">
        <v>54</v>
      </c>
    </row>
    <row r="4" spans="1:78" ht="12.75" customHeight="1" x14ac:dyDescent="0.25">
      <c r="A4" s="16" t="s">
        <v>0</v>
      </c>
      <c r="B4" s="17" t="s">
        <v>7</v>
      </c>
      <c r="C4" s="17" t="s">
        <v>71</v>
      </c>
      <c r="D4" s="18" t="s">
        <v>20</v>
      </c>
      <c r="E4" s="18">
        <v>108.6</v>
      </c>
      <c r="F4" s="18">
        <f ca="1">VLOOKUP(IF($F$7="WtCls (lb)",E4/2.2046,E4),[1]DATA!$D$3:$H$16,IF(LEFT(D4,1)="M",2,3)+IF(AND(I4,I4&lt;24),2,0),TRUE)</f>
        <v>114</v>
      </c>
      <c r="G4" s="18">
        <v>76</v>
      </c>
      <c r="H4" s="19" t="e">
        <f ca="1">IF(AND(VALUE(E4)&gt;0,OR(LEFT(D4,1)="M",LEFT(D4,1)="F")),IF(LEFT(D4,1)="M",Wilks_Men(IF(RIGHT($F$7,4)="(lb)",E4/2.2046,E4)),Wilks_Women(IF(RIGHT($F$7,4)="(lb)",E4/2.2046,E4))),0)</f>
        <v>#REF!</v>
      </c>
      <c r="I4" s="16">
        <v>12</v>
      </c>
      <c r="J4" s="14" t="e">
        <f>IF(I4,VLOOKUP(I4,[1]DATA!$A$2:$B$53,2,TRUE),0)</f>
        <v>#N/A</v>
      </c>
      <c r="K4" s="18">
        <v>5</v>
      </c>
      <c r="L4" s="20">
        <v>200</v>
      </c>
      <c r="M4" s="20">
        <v>240</v>
      </c>
      <c r="N4" s="16"/>
      <c r="O4" s="21">
        <f>IF(MAX(BL4:BN4)&gt;0,MAX(ABS(L4)*BL4,ABS(M4)*BM4,ABS(N4)*BN4),0)</f>
        <v>240</v>
      </c>
      <c r="P4" s="22"/>
      <c r="Q4" s="20">
        <v>95</v>
      </c>
      <c r="R4" s="20">
        <v>125</v>
      </c>
      <c r="S4" s="16"/>
      <c r="T4" s="21">
        <f>IF(MAX(BQ4:BS4)&gt;0,MAX(ABS(Q4)*BQ4,ABS(R4)*BR4,ABS(S4)*BS4),0)</f>
        <v>125</v>
      </c>
      <c r="U4" s="21">
        <f>IF(OR(O4=0,T4=0),0,O4+T4)</f>
        <v>365</v>
      </c>
      <c r="V4" s="20">
        <v>315</v>
      </c>
      <c r="W4" s="20">
        <v>345</v>
      </c>
      <c r="X4" s="20">
        <v>370</v>
      </c>
      <c r="Y4" s="21">
        <f>IF(MAX(BV4:BX4)&gt;0,MAX(ABS(V4)*BV4,ABS(W4)*BW4,ABS(X4)*BX4),0)</f>
        <v>370</v>
      </c>
      <c r="Z4" s="21">
        <f>U4+Y4</f>
        <v>735</v>
      </c>
      <c r="AA4" s="9" t="e">
        <f ca="1">IF($E$3="Lb",Z4*H4/2.2046,Z4*H4)</f>
        <v>#REF!</v>
      </c>
      <c r="AB4" s="9" t="e">
        <f ca="1">IF(AND(I4&gt;23,I4&lt;40),0,AA4*J4)</f>
        <v>#REF!</v>
      </c>
      <c r="AC4" s="8" t="e">
        <f ca="1">OFFSET([1]Setup!$F$1,MATCH(D4,[1]Setup!B:B,0)-1,0)</f>
        <v>#VALUE!</v>
      </c>
      <c r="AD4" s="10" t="str">
        <f ca="1">IF(OR(Z4=0,AU4=0),"",CONCATENATE(OFFSET($AZ$7,MATCH(AW4,AX:AX,0)-7,0),"-",D4,IF(AC4&gt;1,"","-"),IF(AC4&gt;1,"",F4),"-",$AU$7))</f>
        <v/>
      </c>
      <c r="AE4" s="7"/>
      <c r="AF4" s="5" t="e">
        <f ca="1">IF(OR(VALUE(LEFT(AD4,1))&gt;5,Z4=0),0,VLOOKUP(VALUE(LEFT(AD4,1)),$CB$1:$CC$5,2))</f>
        <v>#VALUE!</v>
      </c>
      <c r="AG4" s="5" t="e">
        <f ca="1">SUMIF(INDIRECT($AH$6),C4,INDIRECT($AH$5))</f>
        <v>#REF!</v>
      </c>
      <c r="AU4" s="11">
        <f ca="1">IF(ISERROR(FIND($AU$7,AE4)),0,1)</f>
        <v>0</v>
      </c>
      <c r="AV4" s="12">
        <f ca="1">IF(OR(D4="",E4="",AU4=0),0,MATCH(D4,[1]Setup!B:B,0)*10000000+IF(AC4&gt;1,0,((1000-IF(RIGHT(F4)="+",400,F4)))*1000000-E4/10)-BZ4/10000-G4/1000000+IF(AC4=1,Z4,IF(AC4=2,AA4,AB4)))</f>
        <v>0</v>
      </c>
      <c r="AW4" s="11">
        <f ca="1">RANK(AV4,INDIRECT($AV$6))</f>
        <v>1</v>
      </c>
      <c r="AX4" s="13">
        <f>AX3+1</f>
        <v>1</v>
      </c>
      <c r="AY4" s="13" t="e">
        <f ca="1">CONCATENATE(OFFSET($D$7,MATCH(AX4,AW:AW,0)-7,0),IF(OFFSET($AC$7,MATCH(AX4,AW:AW,0)-7,0)&gt;1,0,OFFSET($F$7,MATCH(AX4,AW:AW,0)-7,0)))</f>
        <v>#N/A</v>
      </c>
      <c r="AZ4" s="13">
        <f ca="1">IF(ISERROR(AY3),1,IF(AY4=AY3,AZ3+1,1))</f>
        <v>1</v>
      </c>
      <c r="BA4" s="5" t="e">
        <f>HLOOKUP($A4,$BA$1:$BH$2,2,FALSE)</f>
        <v>#N/A</v>
      </c>
      <c r="BB4" s="4">
        <f ca="1">IF(INDIRECT(ADDRESS(ROW(BB4),$BB$4))="","",ABS(INDIRECT(ADDRESS(ROW(BB4),$BB$4)))+0.0001*INDIRECT(ADDRESS(ROW(BB4),7)))</f>
        <v>370.00760000000002</v>
      </c>
      <c r="BL4" s="4">
        <v>1</v>
      </c>
      <c r="BM4" s="4">
        <v>1</v>
      </c>
      <c r="BN4" s="4">
        <v>0</v>
      </c>
      <c r="BO4" s="5">
        <f>IF(BN4=1,3,IF(BM4=1,2,IF(BL4=1,1,0)))</f>
        <v>2</v>
      </c>
      <c r="BQ4" s="4">
        <v>1</v>
      </c>
      <c r="BR4" s="4">
        <v>1</v>
      </c>
      <c r="BS4" s="4">
        <v>0</v>
      </c>
      <c r="BT4" s="5">
        <f>IF(BS4=1,3,IF(BR4=1,2,IF(BQ4=1,1,0)))</f>
        <v>2</v>
      </c>
      <c r="BV4" s="4">
        <v>1</v>
      </c>
      <c r="BW4" s="4">
        <v>1</v>
      </c>
      <c r="BX4" s="4">
        <v>1</v>
      </c>
      <c r="BY4" s="5">
        <f>IF(BX4=1,3,IF(BW4=1,2,IF(BV4=1,1,0)))</f>
        <v>3</v>
      </c>
      <c r="BZ4" s="5">
        <f ca="1">(CODE(A4)-64)*3+IF($AU$7="SQ",BO4,IF($AU$7="BP",BT4,BY4))</f>
        <v>6</v>
      </c>
    </row>
    <row r="5" spans="1:78" ht="12.75" customHeight="1" x14ac:dyDescent="0.25">
      <c r="A5" s="16" t="s">
        <v>0</v>
      </c>
      <c r="B5" s="17" t="s">
        <v>8</v>
      </c>
      <c r="C5" s="17" t="s">
        <v>72</v>
      </c>
      <c r="D5" s="18" t="s">
        <v>20</v>
      </c>
      <c r="E5" s="18">
        <v>114.4</v>
      </c>
      <c r="F5" s="18">
        <f ca="1">VLOOKUP(IF($F$7="WtCls (lb)",E5/2.2046,E5),[1]DATA!$D$3:$H$16,IF(LEFT(D5,1)="M",2,3)+IF(AND(I5,I5&lt;24),2,0),TRUE)</f>
        <v>114</v>
      </c>
      <c r="G5" s="18">
        <v>102</v>
      </c>
      <c r="H5" s="19" t="e">
        <f ca="1">IF(AND(VALUE(E5)&gt;0,OR(LEFT(D5,1)="M",LEFT(D5,1)="F")),IF(LEFT(D5,1)="M",Wilks_Men(IF(RIGHT($F$7,4)="(lb)",E5/2.2046,E5)),Wilks_Women(IF(RIGHT($F$7,4)="(lb)",E5/2.2046,E5))),0)</f>
        <v>#REF!</v>
      </c>
      <c r="I5" s="16">
        <v>9</v>
      </c>
      <c r="J5" s="14" t="e">
        <f>IF(I5,VLOOKUP(I5,[1]DATA!$A$2:$B$53,2,TRUE),0)</f>
        <v>#N/A</v>
      </c>
      <c r="K5" s="18">
        <v>4</v>
      </c>
      <c r="L5" s="20">
        <v>240</v>
      </c>
      <c r="M5" s="23">
        <v>-260</v>
      </c>
      <c r="N5" s="20">
        <v>260</v>
      </c>
      <c r="O5" s="21">
        <f>IF(MAX(BL5:BN5)&gt;0,MAX(ABS(L5)*BL5,ABS(M5)*BM5,ABS(N5)*BN5),0)</f>
        <v>260</v>
      </c>
      <c r="P5" s="22"/>
      <c r="Q5" s="20">
        <v>145</v>
      </c>
      <c r="R5" s="16"/>
      <c r="S5" s="16"/>
      <c r="T5" s="21">
        <f>IF(MAX(BQ5:BS5)&gt;0,MAX(ABS(Q5)*BQ5,ABS(R5)*BR5,ABS(S5)*BS5),0)</f>
        <v>145</v>
      </c>
      <c r="U5" s="21">
        <f>IF(OR(O5=0,T5=0),0,O5+T5)</f>
        <v>405</v>
      </c>
      <c r="V5" s="20">
        <v>315</v>
      </c>
      <c r="W5" s="20">
        <v>330</v>
      </c>
      <c r="X5" s="23">
        <v>-340</v>
      </c>
      <c r="Y5" s="21">
        <f>IF(MAX(BV5:BX5)&gt;0,MAX(ABS(V5)*BV5,ABS(W5)*BW5,ABS(X5)*BX5),0)</f>
        <v>330</v>
      </c>
      <c r="Z5" s="21">
        <f>U5+Y5</f>
        <v>735</v>
      </c>
      <c r="AA5" s="9" t="e">
        <f ca="1">IF($E$3="Lb",Z5*H5/2.2046,Z5*H5)</f>
        <v>#REF!</v>
      </c>
      <c r="AB5" s="9" t="e">
        <f ca="1">IF(AND(I5&gt;23,I5&lt;40),0,AA5*J5)</f>
        <v>#REF!</v>
      </c>
      <c r="AC5" s="8" t="e">
        <f ca="1">OFFSET([1]Setup!$F$1,MATCH(D5,[1]Setup!B:B,0)-1,0)</f>
        <v>#VALUE!</v>
      </c>
      <c r="AD5" s="10" t="str">
        <f ca="1">IF(OR(Z5=0,AU5=0),"",CONCATENATE(OFFSET($AZ$7,MATCH(AW5,AX:AX,0)-7,0),"-",D5,IF(AC5&gt;1,"","-"),IF(AC5&gt;1,"",F5),"-",$AU$7))</f>
        <v/>
      </c>
      <c r="AE5" s="7"/>
      <c r="AF5" s="5" t="e">
        <f ca="1">IF(OR(VALUE(LEFT(AD5,1))&gt;5,Z5=0),0,VLOOKUP(VALUE(LEFT(AD5,1)),$CB$1:$CC$5,2))</f>
        <v>#VALUE!</v>
      </c>
      <c r="AG5" s="5" t="e">
        <f ca="1">SUMIF(INDIRECT($AH$6),C5,INDIRECT($AH$5))</f>
        <v>#REF!</v>
      </c>
      <c r="AU5" s="11">
        <f ca="1">IF(ISERROR(FIND($AU$7,AE5)),0,1)</f>
        <v>0</v>
      </c>
      <c r="AV5" s="12">
        <f ca="1">IF(OR(D5="",E5="",AU5=0),0,MATCH(D5,[1]Setup!B:B,0)*10000000+IF(AC5&gt;1,0,((1000-IF(RIGHT(F5)="+",400,F5)))*1000000-E5/10)-BZ5/10000-G5/1000000+IF(AC5=1,Z5,IF(AC5=2,AA5,AB5)))</f>
        <v>0</v>
      </c>
      <c r="AW5" s="11">
        <f ca="1">RANK(AV5,INDIRECT($AV$6))</f>
        <v>1</v>
      </c>
      <c r="AX5" s="13">
        <f>AX4+1</f>
        <v>2</v>
      </c>
      <c r="AY5" s="13" t="e">
        <f ca="1">CONCATENATE(OFFSET($D$7,MATCH(AX5,AW:AW,0)-7,0),IF(OFFSET($AC$7,MATCH(AX5,AW:AW,0)-7,0)&gt;1,0,OFFSET($F$7,MATCH(AX5,AW:AW,0)-7,0)))</f>
        <v>#N/A</v>
      </c>
      <c r="AZ5" s="13">
        <f ca="1">IF(ISERROR(AY4),1,IF(AY5=AY4,AZ4+1,1))</f>
        <v>1</v>
      </c>
      <c r="BA5" s="5" t="e">
        <f>HLOOKUP($A5,$BA$1:$BH$2,2,FALSE)</f>
        <v>#N/A</v>
      </c>
      <c r="BB5" s="4">
        <f ca="1">IF(INDIRECT(ADDRESS(ROW(BB5),$BB$4))="","",ABS(INDIRECT(ADDRESS(ROW(BB5),$BB$4)))+0.0001*INDIRECT(ADDRESS(ROW(BB5),7)))</f>
        <v>340.0102</v>
      </c>
      <c r="BL5" s="4">
        <v>1</v>
      </c>
      <c r="BM5" s="4">
        <v>-1</v>
      </c>
      <c r="BN5" s="4">
        <v>1</v>
      </c>
      <c r="BO5" s="5">
        <f>IF(BN5=1,3,IF(BM5=1,2,IF(BL5=1,1,0)))</f>
        <v>3</v>
      </c>
      <c r="BQ5" s="4">
        <v>1</v>
      </c>
      <c r="BR5" s="4">
        <v>0</v>
      </c>
      <c r="BS5" s="4">
        <v>0</v>
      </c>
      <c r="BT5" s="5">
        <f>IF(BS5=1,3,IF(BR5=1,2,IF(BQ5=1,1,0)))</f>
        <v>1</v>
      </c>
      <c r="BV5" s="4">
        <v>1</v>
      </c>
      <c r="BW5" s="4">
        <v>1</v>
      </c>
      <c r="BX5" s="4">
        <v>-1</v>
      </c>
      <c r="BY5" s="5">
        <f>IF(BX5=1,3,IF(BW5=1,2,IF(BV5=1,1,0)))</f>
        <v>2</v>
      </c>
      <c r="BZ5" s="5">
        <f ca="1">(CODE(A5)-64)*3+IF($AU$7="SQ",BO5,IF($AU$7="BP",BT5,BY5))</f>
        <v>5</v>
      </c>
    </row>
    <row r="6" spans="1:78" ht="12.75" customHeight="1" x14ac:dyDescent="0.25">
      <c r="A6" s="16" t="s">
        <v>0</v>
      </c>
      <c r="B6" s="17" t="s">
        <v>64</v>
      </c>
      <c r="C6" s="17" t="s">
        <v>72</v>
      </c>
      <c r="D6" s="18" t="s">
        <v>20</v>
      </c>
      <c r="E6" s="18">
        <v>113.8</v>
      </c>
      <c r="F6" s="18">
        <f ca="1">VLOOKUP(IF($F$7="WtCls (lb)",E6/2.2046,E6),[1]DATA!$D$3:$H$16,IF(LEFT(D6,1)="M",2,3)+IF(AND(I6,I6&lt;24),2,0),TRUE)</f>
        <v>114</v>
      </c>
      <c r="G6" s="18">
        <v>12</v>
      </c>
      <c r="H6" s="19" t="e">
        <f ca="1">IF(AND(VALUE(E6)&gt;0,OR(LEFT(D6,1)="M",LEFT(D6,1)="F")),IF(LEFT(D6,1)="M",Wilks_Men(IF(RIGHT($F$7,4)="(lb)",E6/2.2046,E6)),Wilks_Women(IF(RIGHT($F$7,4)="(lb)",E6/2.2046,E6))),0)</f>
        <v>#REF!</v>
      </c>
      <c r="I6" s="16">
        <v>8</v>
      </c>
      <c r="J6" s="14" t="e">
        <f>IF(I6,VLOOKUP(I6,[1]DATA!$A$2:$B$53,2,TRUE),0)</f>
        <v>#N/A</v>
      </c>
      <c r="K6" s="18">
        <v>6</v>
      </c>
      <c r="L6" s="20">
        <v>175</v>
      </c>
      <c r="M6" s="20">
        <v>200</v>
      </c>
      <c r="N6" s="23">
        <v>-215</v>
      </c>
      <c r="O6" s="21">
        <f>IF(MAX(BL6:BN6)&gt;0,MAX(ABS(L6)*BL6,ABS(M6)*BM6,ABS(N6)*BN6),0)</f>
        <v>200</v>
      </c>
      <c r="P6" s="22"/>
      <c r="Q6" s="20">
        <v>105</v>
      </c>
      <c r="R6" s="16"/>
      <c r="S6" s="16"/>
      <c r="T6" s="21">
        <f>IF(MAX(BQ6:BS6)&gt;0,MAX(ABS(Q6)*BQ6,ABS(R6)*BR6,ABS(S6)*BS6),0)</f>
        <v>105</v>
      </c>
      <c r="U6" s="21">
        <f>IF(OR(O6=0,T6=0),0,O6+T6)</f>
        <v>305</v>
      </c>
      <c r="V6" s="20">
        <v>235</v>
      </c>
      <c r="W6" s="20">
        <v>250</v>
      </c>
      <c r="X6" s="23">
        <v>-265</v>
      </c>
      <c r="Y6" s="21">
        <f>IF(MAX(BV6:BX6)&gt;0,MAX(ABS(V6)*BV6,ABS(W6)*BW6,ABS(X6)*BX6),0)</f>
        <v>250</v>
      </c>
      <c r="Z6" s="21">
        <f>U6+Y6</f>
        <v>555</v>
      </c>
      <c r="AA6" s="9" t="e">
        <f ca="1">IF($E$3="Lb",Z6*H6/2.2046,Z6*H6)</f>
        <v>#REF!</v>
      </c>
      <c r="AB6" s="9" t="e">
        <f ca="1">IF(AND(I6&gt;23,I6&lt;40),0,AA6*J6)</f>
        <v>#REF!</v>
      </c>
      <c r="AC6" s="8" t="e">
        <f ca="1">OFFSET([1]Setup!$F$1,MATCH(D6,[1]Setup!B:B,0)-1,0)</f>
        <v>#VALUE!</v>
      </c>
      <c r="AD6" s="10" t="str">
        <f ca="1">IF(OR(Z6=0,AU6=0),"",CONCATENATE(OFFSET($AZ$7,MATCH(AW6,AX:AX,0)-7,0),"-",D6,IF(AC6&gt;1,"","-"),IF(AC6&gt;1,"",F6),"-",$AU$7))</f>
        <v/>
      </c>
      <c r="AE6" s="7"/>
      <c r="AF6" s="5" t="e">
        <f ca="1">IF(OR(VALUE(LEFT(AD6,1))&gt;5,Z6=0),0,VLOOKUP(VALUE(LEFT(AD6,1)),$CB$1:$CC$5,2))</f>
        <v>#VALUE!</v>
      </c>
      <c r="AG6" s="5" t="e">
        <f ca="1">SUMIF(INDIRECT($AH$6),C6,INDIRECT($AH$5))</f>
        <v>#REF!</v>
      </c>
      <c r="AU6" s="11">
        <f ca="1">IF(ISERROR(FIND($AU$7,AE6)),0,1)</f>
        <v>0</v>
      </c>
      <c r="AV6" s="12">
        <f ca="1">IF(OR(D6="",E6="",AU6=0),0,MATCH(D6,[1]Setup!B:B,0)*10000000+IF(AC6&gt;1,0,((1000-IF(RIGHT(F6)="+",400,F6)))*1000000-E6/10)-BZ6/10000-G6/1000000+IF(AC6=1,Z6,IF(AC6=2,AA6,AB6)))</f>
        <v>0</v>
      </c>
      <c r="AW6" s="11">
        <f ca="1">RANK(AV6,INDIRECT($AV$6))</f>
        <v>1</v>
      </c>
      <c r="AX6" s="13">
        <f>AX5+1</f>
        <v>3</v>
      </c>
      <c r="AY6" s="13" t="e">
        <f ca="1">CONCATENATE(OFFSET($D$7,MATCH(AX6,AW:AW,0)-7,0),IF(OFFSET($AC$7,MATCH(AX6,AW:AW,0)-7,0)&gt;1,0,OFFSET($F$7,MATCH(AX6,AW:AW,0)-7,0)))</f>
        <v>#N/A</v>
      </c>
      <c r="AZ6" s="13">
        <f ca="1">IF(ISERROR(AY5),1,IF(AY6=AY5,AZ5+1,1))</f>
        <v>1</v>
      </c>
      <c r="BA6" s="5" t="e">
        <f>HLOOKUP($A6,$BA$1:$BH$2,2,FALSE)</f>
        <v>#N/A</v>
      </c>
      <c r="BB6" s="4">
        <f ca="1">IF(INDIRECT(ADDRESS(ROW(BB6),$BB$4))="","",ABS(INDIRECT(ADDRESS(ROW(BB6),$BB$4)))+0.0001*INDIRECT(ADDRESS(ROW(BB6),7)))</f>
        <v>265.00119999999998</v>
      </c>
      <c r="BL6" s="4">
        <v>1</v>
      </c>
      <c r="BM6" s="4">
        <v>1</v>
      </c>
      <c r="BN6" s="4">
        <v>-1</v>
      </c>
      <c r="BO6" s="5">
        <f>IF(BN6=1,3,IF(BM6=1,2,IF(BL6=1,1,0)))</f>
        <v>2</v>
      </c>
      <c r="BQ6" s="4">
        <v>1</v>
      </c>
      <c r="BR6" s="4">
        <v>0</v>
      </c>
      <c r="BS6" s="4">
        <v>0</v>
      </c>
      <c r="BT6" s="5">
        <f>IF(BS6=1,3,IF(BR6=1,2,IF(BQ6=1,1,0)))</f>
        <v>1</v>
      </c>
      <c r="BV6" s="4">
        <v>1</v>
      </c>
      <c r="BW6" s="4">
        <v>1</v>
      </c>
      <c r="BX6" s="4">
        <v>-1</v>
      </c>
      <c r="BY6" s="5">
        <f>IF(BX6=1,3,IF(BW6=1,2,IF(BV6=1,1,0)))</f>
        <v>2</v>
      </c>
      <c r="BZ6" s="5">
        <f ca="1">(CODE(A6)-64)*3+IF($AU$7="SQ",BO6,IF($AU$7="BP",BT6,BY6))</f>
        <v>5</v>
      </c>
    </row>
    <row r="7" spans="1:78" ht="12.75" customHeight="1" x14ac:dyDescent="0.25">
      <c r="A7" s="16" t="s">
        <v>0</v>
      </c>
      <c r="B7" s="17" t="s">
        <v>2</v>
      </c>
      <c r="C7" s="17" t="s">
        <v>73</v>
      </c>
      <c r="D7" s="18" t="s">
        <v>20</v>
      </c>
      <c r="E7" s="18">
        <v>110</v>
      </c>
      <c r="F7" s="18">
        <f ca="1">VLOOKUP(IF($F$7="WtCls (lb)",E7/2.2046,E7),[1]DATA!$D$3:$H$16,IF(LEFT(D7,1)="M",2,3)+IF(AND(I7,I7&lt;24),2,0),TRUE)</f>
        <v>114</v>
      </c>
      <c r="G7" s="18">
        <v>86</v>
      </c>
      <c r="H7" s="19" t="e">
        <f ca="1">IF(AND(VALUE(E7)&gt;0,OR(LEFT(D7,1)="M",LEFT(D7,1)="F")),IF(LEFT(D7,1)="M",Wilks_Men(IF(RIGHT($F$7,4)="(lb)",E7/2.2046,E7)),Wilks_Women(IF(RIGHT($F$7,4)="(lb)",E7/2.2046,E7))),0)</f>
        <v>#REF!</v>
      </c>
      <c r="I7" s="16">
        <v>10</v>
      </c>
      <c r="J7" s="14" t="e">
        <f>IF(I7,VLOOKUP(I7,[1]DATA!$A$2:$B$53,2,TRUE),0)</f>
        <v>#N/A</v>
      </c>
      <c r="K7" s="18">
        <v>4</v>
      </c>
      <c r="L7" s="20">
        <v>140</v>
      </c>
      <c r="M7" s="20">
        <v>165</v>
      </c>
      <c r="N7" s="20">
        <v>180</v>
      </c>
      <c r="O7" s="21">
        <f>IF(MAX(BL7:BN7)&gt;0,MAX(ABS(L7)*BL7,ABS(M7)*BM7,ABS(N7)*BN7),0)</f>
        <v>180</v>
      </c>
      <c r="P7" s="22"/>
      <c r="Q7" s="20">
        <v>100</v>
      </c>
      <c r="R7" s="16"/>
      <c r="S7" s="16"/>
      <c r="T7" s="21">
        <f>IF(MAX(BQ7:BS7)&gt;0,MAX(ABS(Q7)*BQ7,ABS(R7)*BR7,ABS(S7)*BS7),0)</f>
        <v>100</v>
      </c>
      <c r="U7" s="21">
        <f>IF(OR(O7=0,T7=0),0,O7+T7)</f>
        <v>280</v>
      </c>
      <c r="V7" s="20">
        <v>185</v>
      </c>
      <c r="W7" s="20">
        <v>220</v>
      </c>
      <c r="X7" s="23">
        <v>-275</v>
      </c>
      <c r="Y7" s="21">
        <f>IF(MAX(BV7:BX7)&gt;0,MAX(ABS(V7)*BV7,ABS(W7)*BW7,ABS(X7)*BX7),0)</f>
        <v>220</v>
      </c>
      <c r="Z7" s="21">
        <f>U7+Y7</f>
        <v>500</v>
      </c>
      <c r="AA7" s="9" t="e">
        <f ca="1">IF($E$3="Lb",Z7*H7/2.2046,Z7*H7)</f>
        <v>#REF!</v>
      </c>
      <c r="AB7" s="9" t="e">
        <f ca="1">IF(AND(I7&gt;23,I7&lt;40),0,AA7*J7)</f>
        <v>#REF!</v>
      </c>
      <c r="AC7" s="8" t="e">
        <f ca="1">OFFSET([1]Setup!$F$1,MATCH(D7,[1]Setup!B:B,0)-1,0)</f>
        <v>#VALUE!</v>
      </c>
      <c r="AD7" s="10" t="str">
        <f ca="1">IF(OR(Z7=0,AU7=0),"",CONCATENATE(OFFSET($AZ$7,MATCH(AW7,AX:AX,0)-7,0),"-",D7,IF(AC7&gt;1,"","-"),IF(AC7&gt;1,"",F7),"-",$AU$7))</f>
        <v/>
      </c>
      <c r="AE7" s="7"/>
      <c r="AF7" s="5" t="e">
        <f ca="1">IF(OR(VALUE(LEFT(AD7,1))&gt;5,Z7=0),0,VLOOKUP(VALUE(LEFT(AD7,1)),$CB$1:$CC$5,2))</f>
        <v>#VALUE!</v>
      </c>
      <c r="AG7" s="5" t="e">
        <f ca="1">SUMIF(INDIRECT($AH$6),C7,INDIRECT($AH$5))</f>
        <v>#REF!</v>
      </c>
      <c r="AU7" s="11">
        <f ca="1">IF(ISERROR(FIND($AU$7,AE7)),0,1)</f>
        <v>0</v>
      </c>
      <c r="AV7" s="12">
        <f ca="1">IF(OR(D7="",E7="",AU7=0),0,MATCH(D7,[1]Setup!B:B,0)*10000000+IF(AC7&gt;1,0,((1000-IF(RIGHT(F7)="+",400,F7)))*1000000-E7/10)-BZ7/10000-G7/1000000+IF(AC7=1,Z7,IF(AC7=2,AA7,AB7)))</f>
        <v>0</v>
      </c>
      <c r="AW7" s="11">
        <f ca="1">RANK(AV7,INDIRECT($AV$6))</f>
        <v>1</v>
      </c>
      <c r="AX7" s="13">
        <f>AX6+1</f>
        <v>4</v>
      </c>
      <c r="AY7" s="13" t="e">
        <f ca="1">CONCATENATE(OFFSET($D$7,MATCH(AX7,AW:AW,0)-7,0),IF(OFFSET($AC$7,MATCH(AX7,AW:AW,0)-7,0)&gt;1,0,OFFSET($F$7,MATCH(AX7,AW:AW,0)-7,0)))</f>
        <v>#N/A</v>
      </c>
      <c r="AZ7" s="13">
        <f ca="1">IF(ISERROR(AY6),1,IF(AY7=AY6,AZ6+1,1))</f>
        <v>1</v>
      </c>
      <c r="BA7" s="5" t="e">
        <f>HLOOKUP($A7,$BA$1:$BH$2,2,FALSE)</f>
        <v>#N/A</v>
      </c>
      <c r="BB7" s="4">
        <f ca="1">IF(INDIRECT(ADDRESS(ROW(BB7),$BB$4))="","",ABS(INDIRECT(ADDRESS(ROW(BB7),$BB$4)))+0.0001*INDIRECT(ADDRESS(ROW(BB7),7)))</f>
        <v>275.0086</v>
      </c>
      <c r="BL7" s="4">
        <v>1</v>
      </c>
      <c r="BM7" s="4">
        <v>1</v>
      </c>
      <c r="BN7" s="4">
        <v>1</v>
      </c>
      <c r="BO7" s="5">
        <f>IF(BN7=1,3,IF(BM7=1,2,IF(BL7=1,1,0)))</f>
        <v>3</v>
      </c>
      <c r="BQ7" s="4">
        <v>1</v>
      </c>
      <c r="BR7" s="4">
        <v>0</v>
      </c>
      <c r="BS7" s="4">
        <v>0</v>
      </c>
      <c r="BT7" s="5">
        <f>IF(BS7=1,3,IF(BR7=1,2,IF(BQ7=1,1,0)))</f>
        <v>1</v>
      </c>
      <c r="BV7" s="4">
        <v>1</v>
      </c>
      <c r="BW7" s="4">
        <v>1</v>
      </c>
      <c r="BX7" s="4">
        <v>-1</v>
      </c>
      <c r="BY7" s="5">
        <f>IF(BX7=1,3,IF(BW7=1,2,IF(BV7=1,1,0)))</f>
        <v>2</v>
      </c>
      <c r="BZ7" s="5">
        <f ca="1">(CODE(A7)-64)*3+IF($AU$7="SQ",BO7,IF($AU$7="BP",BT7,BY7))</f>
        <v>5</v>
      </c>
    </row>
    <row r="8" spans="1:78" ht="12.75" customHeight="1" x14ac:dyDescent="0.25">
      <c r="A8" s="16"/>
      <c r="B8" s="17"/>
      <c r="C8" s="17"/>
      <c r="D8" s="18"/>
      <c r="E8" s="18"/>
      <c r="F8" s="18"/>
      <c r="G8" s="18"/>
      <c r="H8" s="19"/>
      <c r="I8" s="16"/>
      <c r="J8" s="14"/>
      <c r="K8" s="18"/>
      <c r="L8" s="20"/>
      <c r="M8" s="20"/>
      <c r="N8" s="20"/>
      <c r="O8" s="21"/>
      <c r="P8" s="22"/>
      <c r="Q8" s="20"/>
      <c r="R8" s="16"/>
      <c r="S8" s="16"/>
      <c r="T8" s="21"/>
      <c r="U8" s="21"/>
      <c r="V8" s="20"/>
      <c r="W8" s="20"/>
      <c r="X8" s="23"/>
      <c r="Y8" s="21"/>
      <c r="Z8" s="21"/>
      <c r="AA8" s="9"/>
      <c r="AB8" s="9"/>
      <c r="AC8" s="8"/>
      <c r="AD8" s="10"/>
      <c r="AE8" s="7"/>
      <c r="AF8" s="5"/>
      <c r="AG8" s="5"/>
      <c r="AU8" s="11"/>
      <c r="AV8" s="12"/>
      <c r="AW8" s="11"/>
      <c r="AX8" s="13"/>
      <c r="AY8" s="13"/>
      <c r="AZ8" s="13"/>
      <c r="BA8" s="5"/>
      <c r="BO8" s="5"/>
      <c r="BT8" s="5"/>
      <c r="BY8" s="5"/>
      <c r="BZ8" s="5"/>
    </row>
    <row r="9" spans="1:78" ht="12.75" customHeight="1" x14ac:dyDescent="0.25">
      <c r="A9" s="16" t="s">
        <v>0</v>
      </c>
      <c r="B9" s="17" t="s">
        <v>5</v>
      </c>
      <c r="C9" s="17" t="s">
        <v>74</v>
      </c>
      <c r="D9" s="18" t="s">
        <v>20</v>
      </c>
      <c r="E9" s="18">
        <v>120.4</v>
      </c>
      <c r="F9" s="18">
        <f ca="1">VLOOKUP(IF($F$7="WtCls (lb)",E9/2.2046,E9),[1]DATA!$D$3:$H$16,IF(LEFT(D9,1)="M",2,3)+IF(AND(I9,I9&lt;24),2,0),TRUE)</f>
        <v>123</v>
      </c>
      <c r="G9" s="18">
        <v>7</v>
      </c>
      <c r="H9" s="19" t="e">
        <f ca="1">IF(AND(VALUE(E9)&gt;0,OR(LEFT(D9,1)="M",LEFT(D9,1)="F")),IF(LEFT(D9,1)="M",Wilks_Men(IF(RIGHT($F$7,4)="(lb)",E9/2.2046,E9)),Wilks_Women(IF(RIGHT($F$7,4)="(lb)",E9/2.2046,E9))),0)</f>
        <v>#REF!</v>
      </c>
      <c r="I9" s="16">
        <v>9</v>
      </c>
      <c r="J9" s="14" t="e">
        <f>IF(I9,VLOOKUP(I9,[1]DATA!$A$2:$B$53,2,TRUE),0)</f>
        <v>#N/A</v>
      </c>
      <c r="K9" s="18">
        <v>4</v>
      </c>
      <c r="L9" s="20">
        <v>285</v>
      </c>
      <c r="M9" s="20">
        <v>305</v>
      </c>
      <c r="N9" s="20">
        <v>330</v>
      </c>
      <c r="O9" s="21">
        <f>IF(MAX(BL9:BN9)&gt;0,MAX(ABS(L9)*BL9,ABS(M9)*BM9,ABS(N9)*BN9),0)</f>
        <v>330</v>
      </c>
      <c r="P9" s="22"/>
      <c r="Q9" s="20">
        <v>150</v>
      </c>
      <c r="R9" s="16"/>
      <c r="S9" s="16"/>
      <c r="T9" s="21">
        <f>IF(MAX(BQ9:BS9)&gt;0,MAX(ABS(Q9)*BQ9,ABS(R9)*BR9,ABS(S9)*BS9),0)</f>
        <v>150</v>
      </c>
      <c r="U9" s="21">
        <f>IF(OR(O9=0,T9=0),0,O9+T9)</f>
        <v>480</v>
      </c>
      <c r="V9" s="20">
        <v>300</v>
      </c>
      <c r="W9" s="20">
        <v>325</v>
      </c>
      <c r="X9" s="20">
        <v>345</v>
      </c>
      <c r="Y9" s="21">
        <f>IF(MAX(BV9:BX9)&gt;0,MAX(ABS(V9)*BV9,ABS(W9)*BW9,ABS(X9)*BX9),0)</f>
        <v>345</v>
      </c>
      <c r="Z9" s="21">
        <f>U9+Y9</f>
        <v>825</v>
      </c>
      <c r="AA9" s="9" t="e">
        <f ca="1">IF($E$3="Lb",Z9*H9/2.2046,Z9*H9)</f>
        <v>#REF!</v>
      </c>
      <c r="AB9" s="9" t="e">
        <f ca="1">IF(AND(I9&gt;23,I9&lt;40),0,AA9*J9)</f>
        <v>#REF!</v>
      </c>
      <c r="AC9" s="8" t="e">
        <f ca="1">OFFSET([1]Setup!$F$1,MATCH(D9,[1]Setup!B:B,0)-1,0)</f>
        <v>#VALUE!</v>
      </c>
      <c r="AD9" s="10" t="str">
        <f ca="1">IF(OR(Z9=0,AU9=0),"",CONCATENATE(OFFSET($AZ$7,MATCH(AW9,AX:AX,0)-7,0),"-",D9,IF(AC9&gt;1,"","-"),IF(AC9&gt;1,"",F9),"-",$AU$7))</f>
        <v/>
      </c>
      <c r="AE9" s="7"/>
      <c r="AF9" s="5" t="e">
        <f ca="1">IF(OR(VALUE(LEFT(AD9,1))&gt;5,Z9=0),0,VLOOKUP(VALUE(LEFT(AD9,1)),$CB$1:$CC$5,2))</f>
        <v>#VALUE!</v>
      </c>
      <c r="AG9" s="5" t="e">
        <f ca="1">SUMIF(INDIRECT($AH$6),C9,INDIRECT($AH$5))</f>
        <v>#REF!</v>
      </c>
      <c r="AU9" s="11">
        <f ca="1">IF(ISERROR(FIND($AU$7,AE9)),0,1)</f>
        <v>0</v>
      </c>
      <c r="AV9" s="12">
        <f ca="1">IF(OR(D9="",E9="",AU9=0),0,MATCH(D9,[1]Setup!B:B,0)*10000000+IF(AC9&gt;1,0,((1000-IF(RIGHT(F9)="+",400,F9)))*1000000-E9/10)-BZ9/10000-G9/1000000+IF(AC9=1,Z9,IF(AC9=2,AA9,AB9)))</f>
        <v>0</v>
      </c>
      <c r="AW9" s="11">
        <f ca="1">RANK(AV9,INDIRECT($AV$6))</f>
        <v>1</v>
      </c>
      <c r="AX9" s="13">
        <f>AX7+1</f>
        <v>5</v>
      </c>
      <c r="AY9" s="13" t="e">
        <f ca="1">CONCATENATE(OFFSET($D$7,MATCH(AX9,AW:AW,0)-7,0),IF(OFFSET($AC$7,MATCH(AX9,AW:AW,0)-7,0)&gt;1,0,OFFSET($F$7,MATCH(AX9,AW:AW,0)-7,0)))</f>
        <v>#N/A</v>
      </c>
      <c r="AZ9" s="13">
        <f ca="1">IF(ISERROR(AY7),1,IF(AY9=AY7,AZ7+1,1))</f>
        <v>1</v>
      </c>
      <c r="BA9" s="5" t="e">
        <f>HLOOKUP($A9,$BA$1:$BH$2,2,FALSE)</f>
        <v>#N/A</v>
      </c>
      <c r="BB9" s="4">
        <f ca="1">IF(INDIRECT(ADDRESS(ROW(BB9),$BB$4))="","",ABS(INDIRECT(ADDRESS(ROW(BB9),$BB$4)))+0.0001*INDIRECT(ADDRESS(ROW(BB9),7)))</f>
        <v>345.00069999999999</v>
      </c>
      <c r="BL9" s="4">
        <v>1</v>
      </c>
      <c r="BM9" s="4">
        <v>1</v>
      </c>
      <c r="BN9" s="4">
        <v>1</v>
      </c>
      <c r="BO9" s="5">
        <f>IF(BN9=1,3,IF(BM9=1,2,IF(BL9=1,1,0)))</f>
        <v>3</v>
      </c>
      <c r="BQ9" s="4">
        <v>1</v>
      </c>
      <c r="BR9" s="4">
        <v>0</v>
      </c>
      <c r="BS9" s="4">
        <v>0</v>
      </c>
      <c r="BT9" s="5">
        <f>IF(BS9=1,3,IF(BR9=1,2,IF(BQ9=1,1,0)))</f>
        <v>1</v>
      </c>
      <c r="BV9" s="4">
        <v>1</v>
      </c>
      <c r="BW9" s="4">
        <v>1</v>
      </c>
      <c r="BX9" s="4">
        <v>1</v>
      </c>
      <c r="BY9" s="5">
        <f>IF(BX9=1,3,IF(BW9=1,2,IF(BV9=1,1,0)))</f>
        <v>3</v>
      </c>
      <c r="BZ9" s="5">
        <f ca="1">(CODE(A9)-64)*3+IF($AU$7="SQ",BO9,IF($AU$7="BP",BT9,BY9))</f>
        <v>6</v>
      </c>
    </row>
    <row r="10" spans="1:78" ht="12.75" customHeight="1" x14ac:dyDescent="0.25">
      <c r="A10" s="16" t="s">
        <v>0</v>
      </c>
      <c r="B10" s="17" t="s">
        <v>4</v>
      </c>
      <c r="C10" s="17" t="s">
        <v>74</v>
      </c>
      <c r="D10" s="18" t="s">
        <v>20</v>
      </c>
      <c r="E10" s="18">
        <v>119.2</v>
      </c>
      <c r="F10" s="18">
        <f ca="1">VLOOKUP(IF($F$7="WtCls (lb)",E10/2.2046,E10),[1]DATA!$D$3:$H$16,IF(LEFT(D10,1)="M",2,3)+IF(AND(I10,I10&lt;24),2,0),TRUE)</f>
        <v>123</v>
      </c>
      <c r="G10" s="18">
        <v>54</v>
      </c>
      <c r="H10" s="19" t="e">
        <f ca="1">IF(AND(VALUE(E10)&gt;0,OR(LEFT(D10,1)="M",LEFT(D10,1)="F")),IF(LEFT(D10,1)="M",Wilks_Men(IF(RIGHT($F$7,4)="(lb)",E10/2.2046,E10)),Wilks_Women(IF(RIGHT($F$7,4)="(lb)",E10/2.2046,E10))),0)</f>
        <v>#REF!</v>
      </c>
      <c r="I10" s="16">
        <v>10</v>
      </c>
      <c r="J10" s="14" t="e">
        <f>IF(I10,VLOOKUP(I10,[1]DATA!$A$2:$B$53,2,TRUE),0)</f>
        <v>#N/A</v>
      </c>
      <c r="K10" s="18">
        <v>5</v>
      </c>
      <c r="L10" s="20">
        <v>270</v>
      </c>
      <c r="M10" s="20">
        <v>295</v>
      </c>
      <c r="N10" s="16"/>
      <c r="O10" s="21">
        <f>IF(MAX(BL10:BN10)&gt;0,MAX(ABS(L10)*BL10,ABS(M10)*BM10,ABS(N10)*BN10),0)</f>
        <v>295</v>
      </c>
      <c r="P10" s="22"/>
      <c r="Q10" s="20">
        <v>150</v>
      </c>
      <c r="R10" s="20">
        <v>160</v>
      </c>
      <c r="S10" s="16"/>
      <c r="T10" s="21">
        <f>IF(MAX(BQ10:BS10)&gt;0,MAX(ABS(Q10)*BQ10,ABS(R10)*BR10,ABS(S10)*BS10),0)</f>
        <v>160</v>
      </c>
      <c r="U10" s="21">
        <f>IF(OR(O10=0,T10=0),0,O10+T10)</f>
        <v>455</v>
      </c>
      <c r="V10" s="20">
        <v>295</v>
      </c>
      <c r="W10" s="20">
        <v>315</v>
      </c>
      <c r="X10" s="20">
        <v>330</v>
      </c>
      <c r="Y10" s="21">
        <f>IF(MAX(BV10:BX10)&gt;0,MAX(ABS(V10)*BV10,ABS(W10)*BW10,ABS(X10)*BX10),0)</f>
        <v>330</v>
      </c>
      <c r="Z10" s="21">
        <f>U10+Y10</f>
        <v>785</v>
      </c>
      <c r="AA10" s="9" t="e">
        <f ca="1">IF($E$3="Lb",Z10*H10/2.2046,Z10*H10)</f>
        <v>#REF!</v>
      </c>
      <c r="AB10" s="9" t="e">
        <f ca="1">IF(AND(I10&gt;23,I10&lt;40),0,AA10*J10)</f>
        <v>#REF!</v>
      </c>
      <c r="AC10" s="8" t="e">
        <f ca="1">OFFSET([1]Setup!$F$1,MATCH(D10,[1]Setup!B:B,0)-1,0)</f>
        <v>#VALUE!</v>
      </c>
      <c r="AD10" s="10" t="str">
        <f ca="1">IF(OR(Z10=0,AU10=0),"",CONCATENATE(OFFSET($AZ$7,MATCH(AW10,AX:AX,0)-7,0),"-",D10,IF(AC10&gt;1,"","-"),IF(AC10&gt;1,"",F10),"-",$AU$7))</f>
        <v/>
      </c>
      <c r="AE10" s="7"/>
      <c r="AF10" s="5" t="e">
        <f ca="1">IF(OR(VALUE(LEFT(AD10,1))&gt;5,Z10=0),0,VLOOKUP(VALUE(LEFT(AD10,1)),$CB$1:$CC$5,2))</f>
        <v>#VALUE!</v>
      </c>
      <c r="AG10" s="5" t="e">
        <f ca="1">SUMIF(INDIRECT($AH$6),C10,INDIRECT($AH$5))</f>
        <v>#REF!</v>
      </c>
      <c r="AU10" s="11">
        <f ca="1">IF(ISERROR(FIND($AU$7,AE10)),0,1)</f>
        <v>0</v>
      </c>
      <c r="AV10" s="12">
        <f ca="1">IF(OR(D10="",E10="",AU10=0),0,MATCH(D10,[1]Setup!B:B,0)*10000000+IF(AC10&gt;1,0,((1000-IF(RIGHT(F10)="+",400,F10)))*1000000-E10/10)-BZ10/10000-G10/1000000+IF(AC10=1,Z10,IF(AC10=2,AA10,AB10)))</f>
        <v>0</v>
      </c>
      <c r="AW10" s="11">
        <f ca="1">RANK(AV10,INDIRECT($AV$6))</f>
        <v>1</v>
      </c>
      <c r="AX10" s="13">
        <f>AX9+1</f>
        <v>6</v>
      </c>
      <c r="AY10" s="13" t="e">
        <f ca="1">CONCATENATE(OFFSET($D$7,MATCH(AX10,AW:AW,0)-7,0),IF(OFFSET($AC$7,MATCH(AX10,AW:AW,0)-7,0)&gt;1,0,OFFSET($F$7,MATCH(AX10,AW:AW,0)-7,0)))</f>
        <v>#N/A</v>
      </c>
      <c r="AZ10" s="13">
        <f ca="1">IF(ISERROR(AY9),1,IF(AY10=AY9,AZ9+1,1))</f>
        <v>1</v>
      </c>
      <c r="BA10" s="5" t="e">
        <f>HLOOKUP($A10,$BA$1:$BH$2,2,FALSE)</f>
        <v>#N/A</v>
      </c>
      <c r="BB10" s="4">
        <f ca="1">IF(INDIRECT(ADDRESS(ROW(BB10),$BB$4))="","",ABS(INDIRECT(ADDRESS(ROW(BB10),$BB$4)))+0.0001*INDIRECT(ADDRESS(ROW(BB10),7)))</f>
        <v>330.00540000000001</v>
      </c>
      <c r="BL10" s="4">
        <v>1</v>
      </c>
      <c r="BM10" s="4">
        <v>1</v>
      </c>
      <c r="BN10" s="4">
        <v>0</v>
      </c>
      <c r="BO10" s="5">
        <f>IF(BN10=1,3,IF(BM10=1,2,IF(BL10=1,1,0)))</f>
        <v>2</v>
      </c>
      <c r="BQ10" s="4">
        <v>1</v>
      </c>
      <c r="BR10" s="4">
        <v>1</v>
      </c>
      <c r="BS10" s="4">
        <v>0</v>
      </c>
      <c r="BT10" s="5">
        <f>IF(BS10=1,3,IF(BR10=1,2,IF(BQ10=1,1,0)))</f>
        <v>2</v>
      </c>
      <c r="BV10" s="4">
        <v>1</v>
      </c>
      <c r="BW10" s="4">
        <v>1</v>
      </c>
      <c r="BX10" s="4">
        <v>1</v>
      </c>
      <c r="BY10" s="5">
        <f>IF(BX10=1,3,IF(BW10=1,2,IF(BV10=1,1,0)))</f>
        <v>3</v>
      </c>
      <c r="BZ10" s="5">
        <f ca="1">(CODE(A10)-64)*3+IF($AU$7="SQ",BO10,IF($AU$7="BP",BT10,BY10))</f>
        <v>6</v>
      </c>
    </row>
    <row r="11" spans="1:78" ht="12.75" customHeight="1" x14ac:dyDescent="0.25">
      <c r="A11" s="16" t="s">
        <v>0</v>
      </c>
      <c r="B11" s="17" t="s">
        <v>3</v>
      </c>
      <c r="C11" s="17" t="s">
        <v>75</v>
      </c>
      <c r="D11" s="18" t="s">
        <v>20</v>
      </c>
      <c r="E11" s="18">
        <v>121</v>
      </c>
      <c r="F11" s="18">
        <f ca="1">VLOOKUP(IF($F$7="WtCls (lb)",E11/2.2046,E11),[1]DATA!$D$3:$H$16,IF(LEFT(D11,1)="M",2,3)+IF(AND(I11,I11&lt;24),2,0),TRUE)</f>
        <v>123</v>
      </c>
      <c r="G11" s="18">
        <v>78</v>
      </c>
      <c r="H11" s="19" t="e">
        <f ca="1">IF(AND(VALUE(E11)&gt;0,OR(LEFT(D11,1)="M",LEFT(D11,1)="F")),IF(LEFT(D11,1)="M",Wilks_Men(IF(RIGHT($F$7,4)="(lb)",E11/2.2046,E11)),Wilks_Women(IF(RIGHT($F$7,4)="(lb)",E11/2.2046,E11))),0)</f>
        <v>#REF!</v>
      </c>
      <c r="I11" s="16">
        <v>8</v>
      </c>
      <c r="J11" s="14" t="e">
        <f>IF(I11,VLOOKUP(I11,[1]DATA!$A$2:$B$53,2,TRUE),0)</f>
        <v>#N/A</v>
      </c>
      <c r="K11" s="18">
        <v>4</v>
      </c>
      <c r="L11" s="20">
        <v>255</v>
      </c>
      <c r="M11" s="20">
        <v>290</v>
      </c>
      <c r="N11" s="16"/>
      <c r="O11" s="21">
        <f>IF(MAX(BL11:BN11)&gt;0,MAX(ABS(L11)*BL11,ABS(M11)*BM11,ABS(N11)*BN11),0)</f>
        <v>290</v>
      </c>
      <c r="P11" s="22"/>
      <c r="Q11" s="20">
        <v>145</v>
      </c>
      <c r="R11" s="20">
        <v>165</v>
      </c>
      <c r="S11" s="16"/>
      <c r="T11" s="21">
        <f>IF(MAX(BQ11:BS11)&gt;0,MAX(ABS(Q11)*BQ11,ABS(R11)*BR11,ABS(S11)*BS11),0)</f>
        <v>165</v>
      </c>
      <c r="U11" s="21">
        <f>IF(OR(O11=0,T11=0),0,O11+T11)</f>
        <v>455</v>
      </c>
      <c r="V11" s="20">
        <v>275</v>
      </c>
      <c r="W11" s="20">
        <v>300</v>
      </c>
      <c r="X11" s="20">
        <v>310</v>
      </c>
      <c r="Y11" s="21">
        <f>IF(MAX(BV11:BX11)&gt;0,MAX(ABS(V11)*BV11,ABS(W11)*BW11,ABS(X11)*BX11),0)</f>
        <v>310</v>
      </c>
      <c r="Z11" s="21">
        <f>U11+Y11</f>
        <v>765</v>
      </c>
      <c r="AA11" s="9" t="e">
        <f ca="1">IF($E$3="Lb",Z11*H11/2.2046,Z11*H11)</f>
        <v>#REF!</v>
      </c>
      <c r="AB11" s="9" t="e">
        <f ca="1">IF(AND(I11&gt;23,I11&lt;40),0,AA11*J11)</f>
        <v>#REF!</v>
      </c>
      <c r="AC11" s="8" t="e">
        <f ca="1">OFFSET([1]Setup!$F$1,MATCH(D11,[1]Setup!B:B,0)-1,0)</f>
        <v>#VALUE!</v>
      </c>
      <c r="AD11" s="10" t="str">
        <f ca="1">IF(OR(Z11=0,AU11=0),"",CONCATENATE(OFFSET($AZ$7,MATCH(AW11,AX:AX,0)-7,0),"-",D11,IF(AC11&gt;1,"","-"),IF(AC11&gt;1,"",F11),"-",$AU$7))</f>
        <v/>
      </c>
      <c r="AE11" s="7"/>
      <c r="AF11" s="5" t="e">
        <f ca="1">IF(OR(VALUE(LEFT(AD11,1))&gt;5,Z11=0),0,VLOOKUP(VALUE(LEFT(AD11,1)),$CB$1:$CC$5,2))</f>
        <v>#VALUE!</v>
      </c>
      <c r="AG11" s="5" t="e">
        <f ca="1">SUMIF(INDIRECT($AH$6),C11,INDIRECT($AH$5))</f>
        <v>#REF!</v>
      </c>
      <c r="AU11" s="11">
        <f ca="1">IF(ISERROR(FIND($AU$7,AE11)),0,1)</f>
        <v>0</v>
      </c>
      <c r="AV11" s="12">
        <f ca="1">IF(OR(D11="",E11="",AU11=0),0,MATCH(D11,[1]Setup!B:B,0)*10000000+IF(AC11&gt;1,0,((1000-IF(RIGHT(F11)="+",400,F11)))*1000000-E11/10)-BZ11/10000-G11/1000000+IF(AC11=1,Z11,IF(AC11=2,AA11,AB11)))</f>
        <v>0</v>
      </c>
      <c r="AW11" s="11">
        <f ca="1">RANK(AV11,INDIRECT($AV$6))</f>
        <v>1</v>
      </c>
      <c r="AX11" s="13">
        <f>AX10+1</f>
        <v>7</v>
      </c>
      <c r="AY11" s="13" t="e">
        <f ca="1">CONCATENATE(OFFSET($D$7,MATCH(AX11,AW:AW,0)-7,0),IF(OFFSET($AC$7,MATCH(AX11,AW:AW,0)-7,0)&gt;1,0,OFFSET($F$7,MATCH(AX11,AW:AW,0)-7,0)))</f>
        <v>#N/A</v>
      </c>
      <c r="AZ11" s="13">
        <f ca="1">IF(ISERROR(AY10),1,IF(AY11=AY10,AZ10+1,1))</f>
        <v>1</v>
      </c>
      <c r="BA11" s="5" t="e">
        <f>HLOOKUP($A11,$BA$1:$BH$2,2,FALSE)</f>
        <v>#N/A</v>
      </c>
      <c r="BB11" s="4">
        <f ca="1">IF(INDIRECT(ADDRESS(ROW(BB11),$BB$4))="","",ABS(INDIRECT(ADDRESS(ROW(BB11),$BB$4)))+0.0001*INDIRECT(ADDRESS(ROW(BB11),7)))</f>
        <v>310.00779999999997</v>
      </c>
      <c r="BL11" s="4">
        <v>1</v>
      </c>
      <c r="BM11" s="4">
        <v>1</v>
      </c>
      <c r="BN11" s="4">
        <v>0</v>
      </c>
      <c r="BO11" s="5">
        <f>IF(BN11=1,3,IF(BM11=1,2,IF(BL11=1,1,0)))</f>
        <v>2</v>
      </c>
      <c r="BQ11" s="4">
        <v>1</v>
      </c>
      <c r="BR11" s="4">
        <v>1</v>
      </c>
      <c r="BS11" s="4">
        <v>0</v>
      </c>
      <c r="BT11" s="5">
        <f>IF(BS11=1,3,IF(BR11=1,2,IF(BQ11=1,1,0)))</f>
        <v>2</v>
      </c>
      <c r="BV11" s="4">
        <v>1</v>
      </c>
      <c r="BW11" s="4">
        <v>1</v>
      </c>
      <c r="BX11" s="4">
        <v>1</v>
      </c>
      <c r="BY11" s="5">
        <f>IF(BX11=1,3,IF(BW11=1,2,IF(BV11=1,1,0)))</f>
        <v>3</v>
      </c>
      <c r="BZ11" s="5">
        <f ca="1">(CODE(A11)-64)*3+IF($AU$7="SQ",BO11,IF($AU$7="BP",BT11,BY11))</f>
        <v>6</v>
      </c>
    </row>
    <row r="12" spans="1:78" ht="12.75" customHeight="1" x14ac:dyDescent="0.25">
      <c r="A12" s="16"/>
      <c r="B12" s="17"/>
      <c r="C12" s="17"/>
      <c r="D12" s="18"/>
      <c r="E12" s="18"/>
      <c r="F12" s="18"/>
      <c r="G12" s="18"/>
      <c r="H12" s="19"/>
      <c r="I12" s="16"/>
      <c r="J12" s="14"/>
      <c r="K12" s="18"/>
      <c r="L12" s="20"/>
      <c r="M12" s="20"/>
      <c r="N12" s="16"/>
      <c r="O12" s="21"/>
      <c r="P12" s="22"/>
      <c r="Q12" s="20"/>
      <c r="R12" s="20"/>
      <c r="S12" s="16"/>
      <c r="T12" s="21"/>
      <c r="U12" s="21"/>
      <c r="V12" s="20"/>
      <c r="W12" s="20"/>
      <c r="X12" s="20"/>
      <c r="Y12" s="21"/>
      <c r="Z12" s="21"/>
      <c r="AA12" s="9"/>
      <c r="AB12" s="9"/>
      <c r="AC12" s="8"/>
      <c r="AD12" s="10"/>
      <c r="AE12" s="7"/>
      <c r="AF12" s="5"/>
      <c r="AG12" s="5"/>
      <c r="AU12" s="11"/>
      <c r="AV12" s="12"/>
      <c r="AW12" s="11"/>
      <c r="AX12" s="13"/>
      <c r="AY12" s="13"/>
      <c r="AZ12" s="13"/>
      <c r="BA12" s="5"/>
      <c r="BO12" s="5"/>
      <c r="BT12" s="5"/>
      <c r="BY12" s="5"/>
      <c r="BZ12" s="5"/>
    </row>
    <row r="13" spans="1:78" ht="12.75" customHeight="1" x14ac:dyDescent="0.25">
      <c r="A13" s="16" t="s">
        <v>0</v>
      </c>
      <c r="B13" s="17" t="s">
        <v>9</v>
      </c>
      <c r="C13" s="17" t="s">
        <v>72</v>
      </c>
      <c r="D13" s="18" t="s">
        <v>20</v>
      </c>
      <c r="E13" s="18">
        <v>133.4</v>
      </c>
      <c r="F13" s="18">
        <v>132</v>
      </c>
      <c r="G13" s="18">
        <v>20</v>
      </c>
      <c r="H13" s="19" t="e">
        <f ca="1">IF(AND(VALUE(E13)&gt;0,OR(LEFT(D13,1)="M",LEFT(D13,1)="F")),IF(LEFT(D13,1)="M",Wilks_Men(IF(RIGHT($F$7,4)="(lb)",E13/2.2046,E13)),Wilks_Women(IF(RIGHT($F$7,4)="(lb)",E13/2.2046,E13))),0)</f>
        <v>#REF!</v>
      </c>
      <c r="I13" s="16">
        <v>12</v>
      </c>
      <c r="J13" s="14" t="e">
        <f>IF(I13,VLOOKUP(I13,[1]DATA!$A$2:$B$53,2,TRUE),0)</f>
        <v>#N/A</v>
      </c>
      <c r="K13" s="18">
        <v>5</v>
      </c>
      <c r="L13" s="20">
        <v>300</v>
      </c>
      <c r="M13" s="20">
        <v>320</v>
      </c>
      <c r="N13" s="20">
        <v>340</v>
      </c>
      <c r="O13" s="21">
        <f>IF(MAX(BL13:BN13)&gt;0,MAX(ABS(L13)*BL13,ABS(M13)*BM13,ABS(N13)*BN13),0)</f>
        <v>340</v>
      </c>
      <c r="P13" s="22"/>
      <c r="Q13" s="20">
        <v>175</v>
      </c>
      <c r="R13" s="16"/>
      <c r="S13" s="16"/>
      <c r="T13" s="21">
        <f>IF(MAX(BQ13:BS13)&gt;0,MAX(ABS(Q13)*BQ13,ABS(R13)*BR13,ABS(S13)*BS13),0)</f>
        <v>175</v>
      </c>
      <c r="U13" s="21">
        <f>IF(OR(O13=0,T13=0),0,O13+T13)</f>
        <v>515</v>
      </c>
      <c r="V13" s="20">
        <v>330</v>
      </c>
      <c r="W13" s="20">
        <v>360</v>
      </c>
      <c r="X13" s="20">
        <v>385</v>
      </c>
      <c r="Y13" s="21">
        <f>IF(MAX(BV13:BX13)&gt;0,MAX(ABS(V13)*BV13,ABS(W13)*BW13,ABS(X13)*BX13),0)</f>
        <v>385</v>
      </c>
      <c r="Z13" s="21">
        <f>U13+Y13</f>
        <v>900</v>
      </c>
      <c r="AA13" s="9" t="e">
        <f ca="1">IF($E$3="Lb",Z13*H13/2.2046,Z13*H13)</f>
        <v>#REF!</v>
      </c>
      <c r="AB13" s="9" t="e">
        <f ca="1">IF(AND(I13&gt;23,I13&lt;40),0,AA13*J13)</f>
        <v>#REF!</v>
      </c>
      <c r="AC13" s="8" t="e">
        <f ca="1">OFFSET([1]Setup!$F$1,MATCH(D13,[1]Setup!B:B,0)-1,0)</f>
        <v>#VALUE!</v>
      </c>
      <c r="AD13" s="10" t="str">
        <f ca="1">IF(OR(Z13=0,AU13=0),"",CONCATENATE(OFFSET($AZ$7,MATCH(AW13,AX:AX,0)-7,0),"-",D13,IF(AC13&gt;1,"","-"),IF(AC13&gt;1,"",F13),"-",$AU$7))</f>
        <v/>
      </c>
      <c r="AE13" s="7"/>
      <c r="AF13" s="5" t="e">
        <f ca="1">IF(OR(VALUE(LEFT(AD13,1))&gt;5,Z13=0),0,VLOOKUP(VALUE(LEFT(AD13,1)),$CB$1:$CC$5,2))</f>
        <v>#VALUE!</v>
      </c>
      <c r="AG13" s="5" t="e">
        <f ca="1">SUMIF(INDIRECT($AH$6),C13,INDIRECT($AH$5))</f>
        <v>#REF!</v>
      </c>
      <c r="AU13" s="11">
        <f ca="1">IF(ISERROR(FIND($AU$7,AE13)),0,1)</f>
        <v>0</v>
      </c>
      <c r="AV13" s="12">
        <f ca="1">IF(OR(D13="",E13="",AU13=0),0,MATCH(D13,[1]Setup!B:B,0)*10000000+IF(AC13&gt;1,0,((1000-IF(RIGHT(F13)="+",400,F13)))*1000000-E13/10)-BZ13/10000-G13/1000000+IF(AC13=1,Z13,IF(AC13=2,AA13,AB13)))</f>
        <v>0</v>
      </c>
      <c r="AW13" s="11">
        <f ca="1">RANK(AV13,INDIRECT($AV$6))</f>
        <v>1</v>
      </c>
      <c r="AX13" s="13">
        <f>AX11+1</f>
        <v>8</v>
      </c>
      <c r="AY13" s="13" t="e">
        <f ca="1">CONCATENATE(OFFSET($D$7,MATCH(AX13,AW:AW,0)-7,0),IF(OFFSET($AC$7,MATCH(AX13,AW:AW,0)-7,0)&gt;1,0,OFFSET($F$7,MATCH(AX13,AW:AW,0)-7,0)))</f>
        <v>#N/A</v>
      </c>
      <c r="AZ13" s="13">
        <f ca="1">IF(ISERROR(AY11),1,IF(AY13=AY11,AZ11+1,1))</f>
        <v>1</v>
      </c>
      <c r="BA13" s="5" t="e">
        <f>HLOOKUP($A13,$BA$1:$BH$2,2,FALSE)</f>
        <v>#N/A</v>
      </c>
      <c r="BB13" s="4">
        <f ca="1">IF(INDIRECT(ADDRESS(ROW(BB13),$BB$4))="","",ABS(INDIRECT(ADDRESS(ROW(BB13),$BB$4)))+0.0001*INDIRECT(ADDRESS(ROW(BB13),7)))</f>
        <v>385.00200000000001</v>
      </c>
      <c r="BL13" s="4">
        <v>1</v>
      </c>
      <c r="BM13" s="4">
        <v>1</v>
      </c>
      <c r="BN13" s="4">
        <v>1</v>
      </c>
      <c r="BO13" s="5">
        <f>IF(BN13=1,3,IF(BM13=1,2,IF(BL13=1,1,0)))</f>
        <v>3</v>
      </c>
      <c r="BQ13" s="4">
        <v>1</v>
      </c>
      <c r="BR13" s="4">
        <v>0</v>
      </c>
      <c r="BS13" s="4">
        <v>0</v>
      </c>
      <c r="BT13" s="5">
        <f>IF(BS13=1,3,IF(BR13=1,2,IF(BQ13=1,1,0)))</f>
        <v>1</v>
      </c>
      <c r="BV13" s="4">
        <v>1</v>
      </c>
      <c r="BW13" s="4">
        <v>1</v>
      </c>
      <c r="BX13" s="4">
        <v>1</v>
      </c>
      <c r="BY13" s="5">
        <f>IF(BX13=1,3,IF(BW13=1,2,IF(BV13=1,1,0)))</f>
        <v>3</v>
      </c>
      <c r="BZ13" s="5">
        <f ca="1">(CODE(A13)-64)*3+IF($AU$7="SQ",BO13,IF($AU$7="BP",BT13,BY13))</f>
        <v>6</v>
      </c>
    </row>
    <row r="14" spans="1:78" ht="12.75" customHeight="1" x14ac:dyDescent="0.25">
      <c r="A14" s="16" t="s">
        <v>0</v>
      </c>
      <c r="B14" s="17" t="s">
        <v>6</v>
      </c>
      <c r="C14" s="17" t="s">
        <v>74</v>
      </c>
      <c r="D14" s="18" t="s">
        <v>20</v>
      </c>
      <c r="E14" s="18">
        <v>134.19999999999999</v>
      </c>
      <c r="F14" s="18">
        <v>132</v>
      </c>
      <c r="G14" s="18">
        <v>107</v>
      </c>
      <c r="H14" s="19" t="e">
        <f ca="1">IF(AND(VALUE(E14)&gt;0,OR(LEFT(D14,1)="M",LEFT(D14,1)="F")),IF(LEFT(D14,1)="M",Wilks_Men(IF(RIGHT($F$7,4)="(lb)",E14/2.2046,E14)),Wilks_Women(IF(RIGHT($F$7,4)="(lb)",E14/2.2046,E14))),0)</f>
        <v>#REF!</v>
      </c>
      <c r="I14" s="16">
        <v>10</v>
      </c>
      <c r="J14" s="14" t="e">
        <f>IF(I14,VLOOKUP(I14,[1]DATA!$A$2:$B$53,2,TRUE),0)</f>
        <v>#N/A</v>
      </c>
      <c r="K14" s="18">
        <v>5</v>
      </c>
      <c r="L14" s="20">
        <v>280</v>
      </c>
      <c r="M14" s="20">
        <v>315</v>
      </c>
      <c r="N14" s="20">
        <v>340</v>
      </c>
      <c r="O14" s="21">
        <f>IF(MAX(BL14:BN14)&gt;0,MAX(ABS(L14)*BL14,ABS(M14)*BM14,ABS(N14)*BN14),0)</f>
        <v>340</v>
      </c>
      <c r="P14" s="22"/>
      <c r="Q14" s="20">
        <v>160</v>
      </c>
      <c r="R14" s="16"/>
      <c r="S14" s="16"/>
      <c r="T14" s="21">
        <f>IF(MAX(BQ14:BS14)&gt;0,MAX(ABS(Q14)*BQ14,ABS(R14)*BR14,ABS(S14)*BS14),0)</f>
        <v>160</v>
      </c>
      <c r="U14" s="21">
        <f>IF(OR(O14=0,T14=0),0,O14+T14)</f>
        <v>500</v>
      </c>
      <c r="V14" s="20">
        <v>300</v>
      </c>
      <c r="W14" s="20">
        <v>305</v>
      </c>
      <c r="X14" s="23">
        <v>-380</v>
      </c>
      <c r="Y14" s="21">
        <f>IF(MAX(BV14:BX14)&gt;0,MAX(ABS(V14)*BV14,ABS(W14)*BW14,ABS(X14)*BX14),0)</f>
        <v>305</v>
      </c>
      <c r="Z14" s="21">
        <f>U14+Y14</f>
        <v>805</v>
      </c>
      <c r="AA14" s="9" t="e">
        <f ca="1">IF($E$3="Lb",Z14*H14/2.2046,Z14*H14)</f>
        <v>#REF!</v>
      </c>
      <c r="AB14" s="9" t="e">
        <f ca="1">IF(AND(I14&gt;23,I14&lt;40),0,AA14*J14)</f>
        <v>#REF!</v>
      </c>
      <c r="AC14" s="8" t="e">
        <f ca="1">OFFSET([1]Setup!$F$1,MATCH(D14,[1]Setup!B:B,0)-1,0)</f>
        <v>#VALUE!</v>
      </c>
      <c r="AD14" s="10" t="str">
        <f ca="1">IF(OR(Z14=0,AU14=0),"",CONCATENATE(OFFSET($AZ$7,MATCH(AW14,AX:AX,0)-7,0),"-",D14,IF(AC14&gt;1,"","-"),IF(AC14&gt;1,"",F14),"-",$AU$7))</f>
        <v/>
      </c>
      <c r="AE14" s="7"/>
      <c r="AF14" s="5" t="e">
        <f ca="1">IF(OR(VALUE(LEFT(AD14,1))&gt;5,Z14=0),0,VLOOKUP(VALUE(LEFT(AD14,1)),$CB$1:$CC$5,2))</f>
        <v>#VALUE!</v>
      </c>
      <c r="AG14" s="5" t="e">
        <f ca="1">SUMIF(INDIRECT($AH$6),C14,INDIRECT($AH$5))</f>
        <v>#REF!</v>
      </c>
      <c r="AU14" s="11">
        <f ca="1">IF(ISERROR(FIND($AU$7,AE14)),0,1)</f>
        <v>0</v>
      </c>
      <c r="AV14" s="12">
        <f ca="1">IF(OR(D14="",E14="",AU14=0),0,MATCH(D14,[1]Setup!B:B,0)*10000000+IF(AC14&gt;1,0,((1000-IF(RIGHT(F14)="+",400,F14)))*1000000-E14/10)-BZ14/10000-G14/1000000+IF(AC14=1,Z14,IF(AC14=2,AA14,AB14)))</f>
        <v>0</v>
      </c>
      <c r="AW14" s="11">
        <f ca="1">RANK(AV14,INDIRECT($AV$6))</f>
        <v>1</v>
      </c>
      <c r="AX14" s="13">
        <f>AX13+1</f>
        <v>9</v>
      </c>
      <c r="AY14" s="13" t="e">
        <f ca="1">CONCATENATE(OFFSET($D$7,MATCH(AX14,AW:AW,0)-7,0),IF(OFFSET($AC$7,MATCH(AX14,AW:AW,0)-7,0)&gt;1,0,OFFSET($F$7,MATCH(AX14,AW:AW,0)-7,0)))</f>
        <v>#N/A</v>
      </c>
      <c r="AZ14" s="13">
        <f ca="1">IF(ISERROR(AY13),1,IF(AY14=AY13,AZ13+1,1))</f>
        <v>1</v>
      </c>
      <c r="BA14" s="5" t="e">
        <f>HLOOKUP($A14,$BA$1:$BH$2,2,FALSE)</f>
        <v>#N/A</v>
      </c>
      <c r="BB14" s="4">
        <f ca="1">IF(INDIRECT(ADDRESS(ROW(BB14),$BB$4))="","",ABS(INDIRECT(ADDRESS(ROW(BB14),$BB$4)))+0.0001*INDIRECT(ADDRESS(ROW(BB14),7)))</f>
        <v>380.01069999999999</v>
      </c>
      <c r="BL14" s="4">
        <v>1</v>
      </c>
      <c r="BM14" s="4">
        <v>1</v>
      </c>
      <c r="BN14" s="4">
        <v>1</v>
      </c>
      <c r="BO14" s="5">
        <f>IF(BN14=1,3,IF(BM14=1,2,IF(BL14=1,1,0)))</f>
        <v>3</v>
      </c>
      <c r="BQ14" s="4">
        <v>1</v>
      </c>
      <c r="BR14" s="4">
        <v>0</v>
      </c>
      <c r="BS14" s="4">
        <v>0</v>
      </c>
      <c r="BT14" s="5">
        <f>IF(BS14=1,3,IF(BR14=1,2,IF(BQ14=1,1,0)))</f>
        <v>1</v>
      </c>
      <c r="BV14" s="4">
        <v>1</v>
      </c>
      <c r="BW14" s="4">
        <v>1</v>
      </c>
      <c r="BX14" s="4">
        <v>-1</v>
      </c>
      <c r="BY14" s="5">
        <f>IF(BX14=1,3,IF(BW14=1,2,IF(BV14=1,1,0)))</f>
        <v>2</v>
      </c>
      <c r="BZ14" s="5">
        <f ca="1">(CODE(A14)-64)*3+IF($AU$7="SQ",BO14,IF($AU$7="BP",BT14,BY14))</f>
        <v>5</v>
      </c>
    </row>
    <row r="15" spans="1:78" ht="12.75" customHeight="1" x14ac:dyDescent="0.25">
      <c r="A15" s="16" t="s">
        <v>0</v>
      </c>
      <c r="B15" s="17" t="s">
        <v>1</v>
      </c>
      <c r="C15" s="17" t="s">
        <v>76</v>
      </c>
      <c r="D15" s="18" t="s">
        <v>20</v>
      </c>
      <c r="E15" s="18">
        <v>129.19999999999999</v>
      </c>
      <c r="F15" s="18">
        <f ca="1">VLOOKUP(IF($F$7="WtCls (lb)",E15/2.2046,E15),[1]DATA!$D$3:$H$16,IF(LEFT(D15,1)="M",2,3)+IF(AND(I15,I15&lt;24),2,0),TRUE)</f>
        <v>132</v>
      </c>
      <c r="G15" s="18">
        <v>38</v>
      </c>
      <c r="H15" s="19" t="e">
        <f ca="1">IF(AND(VALUE(E15)&gt;0,OR(LEFT(D15,1)="M",LEFT(D15,1)="F")),IF(LEFT(D15,1)="M",Wilks_Men(IF(RIGHT($F$7,4)="(lb)",E15/2.2046,E15)),Wilks_Women(IF(RIGHT($F$7,4)="(lb)",E15/2.2046,E15))),0)</f>
        <v>#REF!</v>
      </c>
      <c r="I15" s="16">
        <v>9</v>
      </c>
      <c r="J15" s="14" t="e">
        <f>IF(I15,VLOOKUP(I15,[1]DATA!$A$2:$B$53,2,TRUE),0)</f>
        <v>#N/A</v>
      </c>
      <c r="K15" s="18">
        <v>7</v>
      </c>
      <c r="L15" s="20">
        <v>65</v>
      </c>
      <c r="M15" s="20">
        <v>75</v>
      </c>
      <c r="N15" s="20"/>
      <c r="O15" s="21">
        <f>IF(MAX(BL15:BN15)&gt;0,MAX(ABS(L15)*BL15,ABS(M15)*BM15,ABS(N15)*BN15),0)</f>
        <v>75</v>
      </c>
      <c r="P15" s="22"/>
      <c r="Q15" s="23">
        <v>-45</v>
      </c>
      <c r="R15" s="20">
        <v>45</v>
      </c>
      <c r="S15" s="16"/>
      <c r="T15" s="21">
        <f>IF(MAX(BQ15:BS15)&gt;0,MAX(ABS(Q15)*BQ15,ABS(R15)*BR15,ABS(S15)*BS15),0)</f>
        <v>45</v>
      </c>
      <c r="U15" s="21">
        <f>IF(OR(O15=0,T15=0),0,O15+T15)</f>
        <v>120</v>
      </c>
      <c r="V15" s="20">
        <v>85</v>
      </c>
      <c r="W15" s="20">
        <v>95</v>
      </c>
      <c r="X15" s="20">
        <v>105</v>
      </c>
      <c r="Y15" s="21">
        <f>IF(MAX(BV15:BX15)&gt;0,MAX(ABS(V15)*BV15,ABS(W15)*BW15,ABS(X15)*BX15),0)</f>
        <v>105</v>
      </c>
      <c r="Z15" s="21">
        <f>U15+Y15</f>
        <v>225</v>
      </c>
      <c r="AA15" s="9" t="e">
        <f ca="1">IF($E$3="Lb",Z15*H15/2.2046,Z15*H15)</f>
        <v>#REF!</v>
      </c>
      <c r="AB15" s="9" t="e">
        <f ca="1">IF(AND(I15&gt;23,I15&lt;40),0,AA15*J15)</f>
        <v>#REF!</v>
      </c>
      <c r="AC15" s="8" t="e">
        <f ca="1">OFFSET([1]Setup!$F$1,MATCH(D15,[1]Setup!B:B,0)-1,0)</f>
        <v>#VALUE!</v>
      </c>
      <c r="AD15" s="10" t="str">
        <f ca="1">IF(OR(Z15=0,AU15=0),"",CONCATENATE(OFFSET($AZ$7,MATCH(AW15,AX:AX,0)-7,0),"-",D15,IF(AC15&gt;1,"","-"),IF(AC15&gt;1,"",F15),"-",$AU$7))</f>
        <v/>
      </c>
      <c r="AE15" s="7"/>
      <c r="AF15" s="5" t="e">
        <f ca="1">IF(OR(VALUE(LEFT(AD15,1))&gt;5,Z15=0),0,VLOOKUP(VALUE(LEFT(AD15,1)),$CB$1:$CC$5,2))</f>
        <v>#VALUE!</v>
      </c>
      <c r="AG15" s="5" t="e">
        <f ca="1">SUMIF(INDIRECT($AH$6),C15,INDIRECT($AH$5))</f>
        <v>#REF!</v>
      </c>
      <c r="AU15" s="11">
        <f ca="1">IF(ISERROR(FIND($AU$7,AE15)),0,1)</f>
        <v>0</v>
      </c>
      <c r="AV15" s="12">
        <f ca="1">IF(OR(D15="",E15="",AU15=0),0,MATCH(D15,[1]Setup!B:B,0)*10000000+IF(AC15&gt;1,0,((1000-IF(RIGHT(F15)="+",400,F15)))*1000000-E15/10)-BZ15/10000-G15/1000000+IF(AC15=1,Z15,IF(AC15=2,AA15,AB15)))</f>
        <v>0</v>
      </c>
      <c r="AW15" s="11">
        <f ca="1">RANK(AV15,INDIRECT($AV$6))</f>
        <v>1</v>
      </c>
      <c r="AX15" s="13">
        <f>AX14+1</f>
        <v>10</v>
      </c>
      <c r="AY15" s="13" t="e">
        <f ca="1">CONCATENATE(OFFSET($D$7,MATCH(AX15,AW:AW,0)-7,0),IF(OFFSET($AC$7,MATCH(AX15,AW:AW,0)-7,0)&gt;1,0,OFFSET($F$7,MATCH(AX15,AW:AW,0)-7,0)))</f>
        <v>#N/A</v>
      </c>
      <c r="AZ15" s="13">
        <f ca="1">IF(ISERROR(AY14),1,IF(AY15=AY14,AZ14+1,1))</f>
        <v>1</v>
      </c>
      <c r="BA15" s="5" t="e">
        <f>HLOOKUP($A15,$BA$1:$BH$2,2,FALSE)</f>
        <v>#N/A</v>
      </c>
      <c r="BB15" s="4">
        <f ca="1">IF(INDIRECT(ADDRESS(ROW(BB15),$BB$4))="","",ABS(INDIRECT(ADDRESS(ROW(BB15),$BB$4)))+0.0001*INDIRECT(ADDRESS(ROW(BB15),7)))</f>
        <v>105.0038</v>
      </c>
      <c r="BL15" s="4">
        <v>1</v>
      </c>
      <c r="BM15" s="4">
        <v>1</v>
      </c>
      <c r="BN15" s="4">
        <v>0</v>
      </c>
      <c r="BO15" s="5">
        <f>IF(BN15=1,3,IF(BM15=1,2,IF(BL15=1,1,0)))</f>
        <v>2</v>
      </c>
      <c r="BQ15" s="4">
        <v>-1</v>
      </c>
      <c r="BR15" s="4">
        <v>1</v>
      </c>
      <c r="BS15" s="4">
        <v>0</v>
      </c>
      <c r="BT15" s="5">
        <f>IF(BS15=1,3,IF(BR15=1,2,IF(BQ15=1,1,0)))</f>
        <v>2</v>
      </c>
      <c r="BV15" s="4">
        <v>1</v>
      </c>
      <c r="BW15" s="4">
        <v>1</v>
      </c>
      <c r="BX15" s="4">
        <v>1</v>
      </c>
      <c r="BY15" s="5">
        <f>IF(BX15=1,3,IF(BW15=1,2,IF(BV15=1,1,0)))</f>
        <v>3</v>
      </c>
      <c r="BZ15" s="5">
        <f ca="1">(CODE(A15)-64)*3+IF($AU$7="SQ",BO15,IF($AU$7="BP",BT15,BY15))</f>
        <v>6</v>
      </c>
    </row>
    <row r="16" spans="1:78" ht="12.75" customHeight="1" x14ac:dyDescent="0.25">
      <c r="A16" s="16"/>
      <c r="B16" s="17"/>
      <c r="C16" s="17"/>
      <c r="D16" s="18"/>
      <c r="E16" s="18"/>
      <c r="F16" s="18"/>
      <c r="G16" s="18"/>
      <c r="H16" s="19"/>
      <c r="I16" s="16"/>
      <c r="J16" s="14"/>
      <c r="K16" s="18"/>
      <c r="L16" s="20"/>
      <c r="M16" s="20"/>
      <c r="N16" s="20"/>
      <c r="O16" s="21"/>
      <c r="P16" s="22"/>
      <c r="Q16" s="23"/>
      <c r="R16" s="20"/>
      <c r="S16" s="16"/>
      <c r="T16" s="21"/>
      <c r="U16" s="21"/>
      <c r="V16" s="20"/>
      <c r="W16" s="20"/>
      <c r="X16" s="20"/>
      <c r="Y16" s="21"/>
      <c r="Z16" s="21"/>
      <c r="AA16" s="9"/>
      <c r="AB16" s="9"/>
      <c r="AC16" s="8"/>
      <c r="AD16" s="10"/>
      <c r="AE16" s="7"/>
      <c r="AF16" s="5"/>
      <c r="AG16" s="5"/>
      <c r="AU16" s="11"/>
      <c r="AV16" s="12"/>
      <c r="AW16" s="11"/>
      <c r="AX16" s="13"/>
      <c r="AY16" s="13"/>
      <c r="AZ16" s="13"/>
      <c r="BA16" s="5"/>
      <c r="BO16" s="5"/>
      <c r="BT16" s="5"/>
      <c r="BY16" s="5"/>
      <c r="BZ16" s="5"/>
    </row>
    <row r="17" spans="1:78" ht="12.75" customHeight="1" x14ac:dyDescent="0.25">
      <c r="A17" s="16" t="s">
        <v>0</v>
      </c>
      <c r="B17" s="17" t="s">
        <v>12</v>
      </c>
      <c r="C17" s="17" t="s">
        <v>76</v>
      </c>
      <c r="D17" s="18" t="s">
        <v>20</v>
      </c>
      <c r="E17" s="18">
        <v>147.80000000000001</v>
      </c>
      <c r="F17" s="18">
        <f ca="1">VLOOKUP(IF($F$7="WtCls (lb)",E17/2.2046,E17),[1]DATA!$D$3:$H$16,IF(LEFT(D17,1)="M",2,3)+IF(AND(I17,I17&lt;24),2,0),TRUE)</f>
        <v>148</v>
      </c>
      <c r="G17" s="18">
        <v>30</v>
      </c>
      <c r="H17" s="19" t="e">
        <f ca="1">IF(AND(VALUE(E17)&gt;0,OR(LEFT(D17,1)="M",LEFT(D17,1)="F")),IF(LEFT(D17,1)="M",Wilks_Men(IF(RIGHT($F$7,4)="(lb)",E17/2.2046,E17)),Wilks_Women(IF(RIGHT($F$7,4)="(lb)",E17/2.2046,E17))),0)</f>
        <v>#REF!</v>
      </c>
      <c r="I17" s="16">
        <v>12</v>
      </c>
      <c r="J17" s="14" t="e">
        <f>IF(I17,VLOOKUP(I17,[1]DATA!$A$2:$B$53,2,TRUE),0)</f>
        <v>#N/A</v>
      </c>
      <c r="K17" s="18">
        <v>5</v>
      </c>
      <c r="L17" s="20">
        <v>315</v>
      </c>
      <c r="M17" s="20">
        <v>325</v>
      </c>
      <c r="N17" s="20">
        <v>335</v>
      </c>
      <c r="O17" s="21">
        <f>IF(MAX(BL17:BN17)&gt;0,MAX(ABS(L17)*BL17,ABS(M17)*BM17,ABS(N17)*BN17),0)</f>
        <v>335</v>
      </c>
      <c r="P17" s="22"/>
      <c r="Q17" s="20">
        <v>215</v>
      </c>
      <c r="R17" s="16"/>
      <c r="S17" s="16"/>
      <c r="T17" s="21">
        <f>IF(MAX(BQ17:BS17)&gt;0,MAX(ABS(Q17)*BQ17,ABS(R17)*BR17,ABS(S17)*BS17),0)</f>
        <v>215</v>
      </c>
      <c r="U17" s="21">
        <f>IF(OR(O17=0,T17=0),0,O17+T17)</f>
        <v>550</v>
      </c>
      <c r="V17" s="20">
        <v>365</v>
      </c>
      <c r="W17" s="20">
        <v>385</v>
      </c>
      <c r="X17" s="20">
        <v>415</v>
      </c>
      <c r="Y17" s="21">
        <f>IF(MAX(BV17:BX17)&gt;0,MAX(ABS(V17)*BV17,ABS(W17)*BW17,ABS(X17)*BX17),0)</f>
        <v>415</v>
      </c>
      <c r="Z17" s="21">
        <f>U17+Y17</f>
        <v>965</v>
      </c>
      <c r="AA17" s="9" t="e">
        <f ca="1">IF($E$3="Lb",Z17*H17/2.2046,Z17*H17)</f>
        <v>#REF!</v>
      </c>
      <c r="AB17" s="9" t="e">
        <f ca="1">IF(AND(I17&gt;23,I17&lt;40),0,AA17*J17)</f>
        <v>#REF!</v>
      </c>
      <c r="AC17" s="8" t="e">
        <f ca="1">OFFSET([1]Setup!$F$1,MATCH(D17,[1]Setup!B:B,0)-1,0)</f>
        <v>#VALUE!</v>
      </c>
      <c r="AD17" s="10" t="str">
        <f ca="1">IF(OR(Z17=0,AU17=0),"",CONCATENATE(OFFSET($AZ$7,MATCH(AW17,AX:AX,0)-7,0),"-",D17,IF(AC17&gt;1,"","-"),IF(AC17&gt;1,"",F17),"-",$AU$7))</f>
        <v/>
      </c>
      <c r="AE17" s="7"/>
      <c r="AF17" s="5" t="e">
        <f ca="1">IF(OR(VALUE(LEFT(AD17,1))&gt;5,Z17=0),0,VLOOKUP(VALUE(LEFT(AD17,1)),$CB$1:$CC$5,2))</f>
        <v>#VALUE!</v>
      </c>
      <c r="AG17" s="5" t="e">
        <f ca="1">SUMIF(INDIRECT($AH$6),C17,INDIRECT($AH$5))</f>
        <v>#REF!</v>
      </c>
      <c r="AU17" s="11">
        <f ca="1">IF(ISERROR(FIND($AU$7,AE17)),0,1)</f>
        <v>0</v>
      </c>
      <c r="AV17" s="12">
        <f ca="1">IF(OR(D17="",E17="",AU17=0),0,MATCH(D17,[1]Setup!B:B,0)*10000000+IF(AC17&gt;1,0,((1000-IF(RIGHT(F17)="+",400,F17)))*1000000-E17/10)-BZ17/10000-G17/1000000+IF(AC17=1,Z17,IF(AC17=2,AA17,AB17)))</f>
        <v>0</v>
      </c>
      <c r="AW17" s="11">
        <f ca="1">RANK(AV17,INDIRECT($AV$6))</f>
        <v>1</v>
      </c>
      <c r="AX17" s="13">
        <f>AX15+1</f>
        <v>11</v>
      </c>
      <c r="AY17" s="13" t="e">
        <f ca="1">CONCATENATE(OFFSET($D$7,MATCH(AX17,AW:AW,0)-7,0),IF(OFFSET($AC$7,MATCH(AX17,AW:AW,0)-7,0)&gt;1,0,OFFSET($F$7,MATCH(AX17,AW:AW,0)-7,0)))</f>
        <v>#N/A</v>
      </c>
      <c r="AZ17" s="13">
        <f ca="1">IF(ISERROR(AY15),1,IF(AY17=AY15,AZ15+1,1))</f>
        <v>1</v>
      </c>
      <c r="BA17" s="5" t="e">
        <f>HLOOKUP($A17,$BA$1:$BH$2,2,FALSE)</f>
        <v>#N/A</v>
      </c>
      <c r="BB17" s="4">
        <f ca="1">IF(INDIRECT(ADDRESS(ROW(BB17),$BB$4))="","",ABS(INDIRECT(ADDRESS(ROW(BB17),$BB$4)))+0.0001*INDIRECT(ADDRESS(ROW(BB17),7)))</f>
        <v>415.00299999999999</v>
      </c>
      <c r="BL17" s="4">
        <v>1</v>
      </c>
      <c r="BM17" s="4">
        <v>1</v>
      </c>
      <c r="BN17" s="4">
        <v>1</v>
      </c>
      <c r="BO17" s="5">
        <f>IF(BN17=1,3,IF(BM17=1,2,IF(BL17=1,1,0)))</f>
        <v>3</v>
      </c>
      <c r="BQ17" s="4">
        <v>1</v>
      </c>
      <c r="BR17" s="4">
        <v>0</v>
      </c>
      <c r="BS17" s="4">
        <v>0</v>
      </c>
      <c r="BT17" s="5">
        <f>IF(BS17=1,3,IF(BR17=1,2,IF(BQ17=1,1,0)))</f>
        <v>1</v>
      </c>
      <c r="BV17" s="4">
        <v>1</v>
      </c>
      <c r="BW17" s="4">
        <v>1</v>
      </c>
      <c r="BX17" s="4">
        <v>1</v>
      </c>
      <c r="BY17" s="5">
        <f>IF(BX17=1,3,IF(BW17=1,2,IF(BV17=1,1,0)))</f>
        <v>3</v>
      </c>
      <c r="BZ17" s="5">
        <f ca="1">(CODE(A17)-64)*3+IF($AU$7="SQ",BO17,IF($AU$7="BP",BT17,BY17))</f>
        <v>6</v>
      </c>
    </row>
    <row r="18" spans="1:78" ht="12.75" customHeight="1" x14ac:dyDescent="0.25">
      <c r="A18" s="16" t="s">
        <v>0</v>
      </c>
      <c r="B18" s="17" t="s">
        <v>11</v>
      </c>
      <c r="C18" s="17" t="s">
        <v>74</v>
      </c>
      <c r="D18" s="18" t="s">
        <v>20</v>
      </c>
      <c r="E18" s="18">
        <v>140.4</v>
      </c>
      <c r="F18" s="18">
        <f ca="1">VLOOKUP(IF($F$7="WtCls (lb)",E18/2.2046,E18),[1]DATA!$D$3:$H$16,IF(LEFT(D18,1)="M",2,3)+IF(AND(I18,I18&lt;24),2,0),TRUE)</f>
        <v>148</v>
      </c>
      <c r="G18" s="18">
        <v>27</v>
      </c>
      <c r="H18" s="19" t="e">
        <f ca="1">IF(AND(VALUE(E18)&gt;0,OR(LEFT(D18,1)="M",LEFT(D18,1)="F")),IF(LEFT(D18,1)="M",Wilks_Men(IF(RIGHT($F$7,4)="(lb)",E18/2.2046,E18)),Wilks_Women(IF(RIGHT($F$7,4)="(lb)",E18/2.2046,E18))),0)</f>
        <v>#REF!</v>
      </c>
      <c r="I18" s="16">
        <v>10</v>
      </c>
      <c r="J18" s="14" t="e">
        <f>IF(I18,VLOOKUP(I18,[1]DATA!$A$2:$B$53,2,TRUE),0)</f>
        <v>#N/A</v>
      </c>
      <c r="K18" s="18">
        <v>5</v>
      </c>
      <c r="L18" s="20">
        <v>300</v>
      </c>
      <c r="M18" s="20">
        <v>325</v>
      </c>
      <c r="N18" s="16"/>
      <c r="O18" s="21">
        <f>IF(MAX(BL18:BN18)&gt;0,MAX(ABS(L18)*BL18,ABS(M18)*BM18,ABS(N18)*BN18),0)</f>
        <v>325</v>
      </c>
      <c r="P18" s="22"/>
      <c r="Q18" s="20">
        <v>185</v>
      </c>
      <c r="R18" s="20">
        <v>200</v>
      </c>
      <c r="S18" s="16"/>
      <c r="T18" s="21">
        <f>IF(MAX(BQ18:BS18)&gt;0,MAX(ABS(Q18)*BQ18,ABS(R18)*BR18,ABS(S18)*BS18),0)</f>
        <v>200</v>
      </c>
      <c r="U18" s="21">
        <f>IF(OR(O18=0,T18=0),0,O18+T18)</f>
        <v>525</v>
      </c>
      <c r="V18" s="20">
        <v>350</v>
      </c>
      <c r="W18" s="20">
        <v>400</v>
      </c>
      <c r="X18" s="20">
        <v>430</v>
      </c>
      <c r="Y18" s="21">
        <f>IF(MAX(BV18:BX18)&gt;0,MAX(ABS(V18)*BV18,ABS(W18)*BW18,ABS(X18)*BX18),0)</f>
        <v>430</v>
      </c>
      <c r="Z18" s="21">
        <f>U18+Y18</f>
        <v>955</v>
      </c>
      <c r="AA18" s="9" t="e">
        <f ca="1">IF($E$3="Lb",Z18*H18/2.2046,Z18*H18)</f>
        <v>#REF!</v>
      </c>
      <c r="AB18" s="9" t="e">
        <f ca="1">IF(AND(I18&gt;23,I18&lt;40),0,AA18*J18)</f>
        <v>#REF!</v>
      </c>
      <c r="AC18" s="8" t="e">
        <f ca="1">OFFSET([1]Setup!$F$1,MATCH(D18,[1]Setup!B:B,0)-1,0)</f>
        <v>#VALUE!</v>
      </c>
      <c r="AD18" s="10" t="str">
        <f ca="1">IF(OR(Z18=0,AU18=0),"",CONCATENATE(OFFSET($AZ$7,MATCH(AW18,AX:AX,0)-7,0),"-",D18,IF(AC18&gt;1,"","-"),IF(AC18&gt;1,"",F18),"-",$AU$7))</f>
        <v/>
      </c>
      <c r="AE18" s="7"/>
      <c r="AF18" s="5" t="e">
        <f ca="1">IF(OR(VALUE(LEFT(AD18,1))&gt;5,Z18=0),0,VLOOKUP(VALUE(LEFT(AD18,1)),$CB$1:$CC$5,2))</f>
        <v>#VALUE!</v>
      </c>
      <c r="AG18" s="5" t="e">
        <f ca="1">SUMIF(INDIRECT($AH$6),C18,INDIRECT($AH$5))</f>
        <v>#REF!</v>
      </c>
      <c r="AU18" s="11">
        <f ca="1">IF(ISERROR(FIND($AU$7,AE18)),0,1)</f>
        <v>0</v>
      </c>
      <c r="AV18" s="12">
        <f ca="1">IF(OR(D18="",E18="",AU18=0),0,MATCH(D18,[1]Setup!B:B,0)*10000000+IF(AC18&gt;1,0,((1000-IF(RIGHT(F18)="+",400,F18)))*1000000-E18/10)-BZ18/10000-G18/1000000+IF(AC18=1,Z18,IF(AC18=2,AA18,AB18)))</f>
        <v>0</v>
      </c>
      <c r="AW18" s="11">
        <f ca="1">RANK(AV18,INDIRECT($AV$6))</f>
        <v>1</v>
      </c>
      <c r="AX18" s="13">
        <f>AX17+1</f>
        <v>12</v>
      </c>
      <c r="AY18" s="13" t="e">
        <f ca="1">CONCATENATE(OFFSET($D$7,MATCH(AX18,AW:AW,0)-7,0),IF(OFFSET($AC$7,MATCH(AX18,AW:AW,0)-7,0)&gt;1,0,OFFSET($F$7,MATCH(AX18,AW:AW,0)-7,0)))</f>
        <v>#N/A</v>
      </c>
      <c r="AZ18" s="13">
        <f ca="1">IF(ISERROR(AY17),1,IF(AY18=AY17,AZ17+1,1))</f>
        <v>1</v>
      </c>
      <c r="BA18" s="5" t="e">
        <f>HLOOKUP($A18,$BA$1:$BH$2,2,FALSE)</f>
        <v>#N/A</v>
      </c>
      <c r="BB18" s="4">
        <f ca="1">IF(INDIRECT(ADDRESS(ROW(BB18),$BB$4))="","",ABS(INDIRECT(ADDRESS(ROW(BB18),$BB$4)))+0.0001*INDIRECT(ADDRESS(ROW(BB18),7)))</f>
        <v>430.0027</v>
      </c>
      <c r="BL18" s="4">
        <v>1</v>
      </c>
      <c r="BM18" s="4">
        <v>1</v>
      </c>
      <c r="BN18" s="4">
        <v>0</v>
      </c>
      <c r="BO18" s="5">
        <f>IF(BN18=1,3,IF(BM18=1,2,IF(BL18=1,1,0)))</f>
        <v>2</v>
      </c>
      <c r="BQ18" s="4">
        <v>1</v>
      </c>
      <c r="BR18" s="4">
        <v>1</v>
      </c>
      <c r="BS18" s="4">
        <v>0</v>
      </c>
      <c r="BT18" s="5">
        <f>IF(BS18=1,3,IF(BR18=1,2,IF(BQ18=1,1,0)))</f>
        <v>2</v>
      </c>
      <c r="BV18" s="4">
        <v>1</v>
      </c>
      <c r="BW18" s="4">
        <v>1</v>
      </c>
      <c r="BX18" s="4">
        <v>1</v>
      </c>
      <c r="BY18" s="5">
        <f>IF(BX18=1,3,IF(BW18=1,2,IF(BV18=1,1,0)))</f>
        <v>3</v>
      </c>
      <c r="BZ18" s="5">
        <f ca="1">(CODE(A18)-64)*3+IF($AU$7="SQ",BO18,IF($AU$7="BP",BT18,BY18))</f>
        <v>6</v>
      </c>
    </row>
    <row r="19" spans="1:78" ht="12.75" customHeight="1" x14ac:dyDescent="0.25">
      <c r="A19" s="16" t="s">
        <v>0</v>
      </c>
      <c r="B19" s="17" t="s">
        <v>10</v>
      </c>
      <c r="C19" s="17" t="s">
        <v>77</v>
      </c>
      <c r="D19" s="18" t="s">
        <v>20</v>
      </c>
      <c r="E19" s="18">
        <v>142.6</v>
      </c>
      <c r="F19" s="18">
        <f ca="1">VLOOKUP(IF($F$7="WtCls (lb)",E19/2.2046,E19),[1]DATA!$D$3:$H$16,IF(LEFT(D19,1)="M",2,3)+IF(AND(I19,I19&lt;24),2,0),TRUE)</f>
        <v>148</v>
      </c>
      <c r="G19" s="18">
        <v>62</v>
      </c>
      <c r="H19" s="19" t="e">
        <f ca="1">IF(AND(VALUE(E19)&gt;0,OR(LEFT(D19,1)="M",LEFT(D19,1)="F")),IF(LEFT(D19,1)="M",Wilks_Men(IF(RIGHT($F$7,4)="(lb)",E19/2.2046,E19)),Wilks_Women(IF(RIGHT($F$7,4)="(lb)",E19/2.2046,E19))),0)</f>
        <v>#REF!</v>
      </c>
      <c r="I19" s="16">
        <v>11</v>
      </c>
      <c r="J19" s="14" t="e">
        <f>IF(I19,VLOOKUP(I19,[1]DATA!$A$2:$B$53,2,TRUE),0)</f>
        <v>#N/A</v>
      </c>
      <c r="K19" s="18">
        <v>6</v>
      </c>
      <c r="L19" s="20">
        <v>285</v>
      </c>
      <c r="M19" s="20">
        <v>315</v>
      </c>
      <c r="N19" s="16"/>
      <c r="O19" s="21">
        <f>IF(MAX(BL19:BN19)&gt;0,MAX(ABS(L19)*BL19,ABS(M19)*BM19,ABS(N19)*BN19),0)</f>
        <v>315</v>
      </c>
      <c r="P19" s="22"/>
      <c r="Q19" s="20">
        <v>155</v>
      </c>
      <c r="R19" s="23">
        <v>-175</v>
      </c>
      <c r="S19" s="16"/>
      <c r="T19" s="21">
        <f>IF(MAX(BQ19:BS19)&gt;0,MAX(ABS(Q19)*BQ19,ABS(R19)*BR19,ABS(S19)*BS19),0)</f>
        <v>155</v>
      </c>
      <c r="U19" s="21">
        <f>IF(OR(O19=0,T19=0),0,O19+T19)</f>
        <v>470</v>
      </c>
      <c r="V19" s="20">
        <v>335</v>
      </c>
      <c r="W19" s="20">
        <v>400</v>
      </c>
      <c r="X19" s="20">
        <v>440</v>
      </c>
      <c r="Y19" s="21">
        <f>IF(MAX(BV19:BX19)&gt;0,MAX(ABS(V19)*BV19,ABS(W19)*BW19,ABS(X19)*BX19),0)</f>
        <v>440</v>
      </c>
      <c r="Z19" s="21">
        <f>U19+Y19</f>
        <v>910</v>
      </c>
      <c r="AA19" s="9" t="e">
        <f ca="1">IF($E$3="Lb",Z19*H19/2.2046,Z19*H19)</f>
        <v>#REF!</v>
      </c>
      <c r="AB19" s="9" t="e">
        <f ca="1">IF(AND(I19&gt;23,I19&lt;40),0,AA19*J19)</f>
        <v>#REF!</v>
      </c>
      <c r="AC19" s="8" t="e">
        <f ca="1">OFFSET([1]Setup!$F$1,MATCH(D19,[1]Setup!B:B,0)-1,0)</f>
        <v>#VALUE!</v>
      </c>
      <c r="AD19" s="10" t="str">
        <f ca="1">IF(OR(Z19=0,AU19=0),"",CONCATENATE(OFFSET($AZ$7,MATCH(AW19,AX:AX,0)-7,0),"-",D19,IF(AC19&gt;1,"","-"),IF(AC19&gt;1,"",F19),"-",$AU$7))</f>
        <v/>
      </c>
      <c r="AE19" s="7"/>
      <c r="AF19" s="5" t="e">
        <f ca="1">IF(OR(VALUE(LEFT(AD19,1))&gt;5,Z19=0),0,VLOOKUP(VALUE(LEFT(AD19,1)),$CB$1:$CC$5,2))</f>
        <v>#VALUE!</v>
      </c>
      <c r="AG19" s="5" t="e">
        <f ca="1">SUMIF(INDIRECT($AH$6),C19,INDIRECT($AH$5))</f>
        <v>#REF!</v>
      </c>
      <c r="AU19" s="11">
        <f ca="1">IF(ISERROR(FIND($AU$7,AE19)),0,1)</f>
        <v>0</v>
      </c>
      <c r="AV19" s="12">
        <f ca="1">IF(OR(D19="",E19="",AU19=0),0,MATCH(D19,[1]Setup!B:B,0)*10000000+IF(AC19&gt;1,0,((1000-IF(RIGHT(F19)="+",400,F19)))*1000000-E19/10)-BZ19/10000-G19/1000000+IF(AC19=1,Z19,IF(AC19=2,AA19,AB19)))</f>
        <v>0</v>
      </c>
      <c r="AW19" s="11">
        <f ca="1">RANK(AV19,INDIRECT($AV$6))</f>
        <v>1</v>
      </c>
      <c r="AX19" s="13">
        <f>AX18+1</f>
        <v>13</v>
      </c>
      <c r="AY19" s="13" t="e">
        <f ca="1">CONCATENATE(OFFSET($D$7,MATCH(AX19,AW:AW,0)-7,0),IF(OFFSET($AC$7,MATCH(AX19,AW:AW,0)-7,0)&gt;1,0,OFFSET($F$7,MATCH(AX19,AW:AW,0)-7,0)))</f>
        <v>#N/A</v>
      </c>
      <c r="AZ19" s="13">
        <f ca="1">IF(ISERROR(AY18),1,IF(AY19=AY18,AZ18+1,1))</f>
        <v>1</v>
      </c>
      <c r="BA19" s="5" t="e">
        <f>HLOOKUP($A19,$BA$1:$BH$2,2,FALSE)</f>
        <v>#N/A</v>
      </c>
      <c r="BB19" s="4">
        <f ca="1">IF(INDIRECT(ADDRESS(ROW(BB19),$BB$4))="","",ABS(INDIRECT(ADDRESS(ROW(BB19),$BB$4)))+0.0001*INDIRECT(ADDRESS(ROW(BB19),7)))</f>
        <v>440.00619999999998</v>
      </c>
      <c r="BL19" s="4">
        <v>1</v>
      </c>
      <c r="BM19" s="4">
        <v>1</v>
      </c>
      <c r="BN19" s="4">
        <v>0</v>
      </c>
      <c r="BO19" s="5">
        <f>IF(BN19=1,3,IF(BM19=1,2,IF(BL19=1,1,0)))</f>
        <v>2</v>
      </c>
      <c r="BQ19" s="4">
        <v>1</v>
      </c>
      <c r="BR19" s="4">
        <v>-1</v>
      </c>
      <c r="BS19" s="4">
        <v>0</v>
      </c>
      <c r="BT19" s="5">
        <f>IF(BS19=1,3,IF(BR19=1,2,IF(BQ19=1,1,0)))</f>
        <v>1</v>
      </c>
      <c r="BV19" s="4">
        <v>1</v>
      </c>
      <c r="BW19" s="4">
        <v>1</v>
      </c>
      <c r="BX19" s="4">
        <v>1</v>
      </c>
      <c r="BY19" s="5">
        <f>IF(BX19=1,3,IF(BW19=1,2,IF(BV19=1,1,0)))</f>
        <v>3</v>
      </c>
      <c r="BZ19" s="5">
        <f ca="1">(CODE(A19)-64)*3+IF($AU$7="SQ",BO19,IF($AU$7="BP",BT19,BY19))</f>
        <v>6</v>
      </c>
    </row>
    <row r="20" spans="1:78" ht="12.75" customHeight="1" x14ac:dyDescent="0.25">
      <c r="A20" s="16"/>
      <c r="B20" s="17"/>
      <c r="C20" s="17"/>
      <c r="D20" s="18" t="s">
        <v>20</v>
      </c>
      <c r="E20" s="18"/>
      <c r="F20" s="18"/>
      <c r="G20" s="18"/>
      <c r="H20" s="19"/>
      <c r="I20" s="16"/>
      <c r="J20" s="14"/>
      <c r="K20" s="18"/>
      <c r="L20" s="20"/>
      <c r="M20" s="20"/>
      <c r="N20" s="16"/>
      <c r="O20" s="21"/>
      <c r="P20" s="22"/>
      <c r="Q20" s="20"/>
      <c r="R20" s="23"/>
      <c r="S20" s="16"/>
      <c r="T20" s="21"/>
      <c r="U20" s="21">
        <f t="shared" ref="U20:U27" si="0">IF(OR(O20=0,T20=0),0,O20+T20)</f>
        <v>0</v>
      </c>
      <c r="V20" s="20"/>
      <c r="W20" s="20"/>
      <c r="X20" s="20"/>
      <c r="Y20" s="21"/>
      <c r="Z20" s="21"/>
      <c r="AA20" s="9"/>
      <c r="AB20" s="9"/>
      <c r="AC20" s="8"/>
      <c r="AD20" s="10"/>
      <c r="AE20" s="7"/>
      <c r="AF20" s="5"/>
      <c r="AG20" s="5"/>
      <c r="AU20" s="11"/>
      <c r="AV20" s="12"/>
      <c r="AW20" s="11"/>
      <c r="AX20" s="13"/>
      <c r="AY20" s="13"/>
      <c r="AZ20" s="13"/>
      <c r="BA20" s="5"/>
      <c r="BO20" s="5"/>
      <c r="BT20" s="5"/>
      <c r="BY20" s="5"/>
      <c r="BZ20" s="5"/>
    </row>
    <row r="21" spans="1:78" x14ac:dyDescent="0.25">
      <c r="A21" s="24" t="s">
        <v>13</v>
      </c>
      <c r="B21" s="17" t="s">
        <v>17</v>
      </c>
      <c r="C21" s="17" t="s">
        <v>75</v>
      </c>
      <c r="D21" s="15"/>
      <c r="E21" s="24">
        <v>163</v>
      </c>
      <c r="F21" s="24">
        <v>165</v>
      </c>
      <c r="G21" s="15"/>
      <c r="H21" s="15"/>
      <c r="I21" s="24">
        <v>10</v>
      </c>
      <c r="J21" s="15"/>
      <c r="K21" s="15"/>
      <c r="L21" s="24">
        <v>425</v>
      </c>
      <c r="M21" s="24">
        <v>490</v>
      </c>
      <c r="N21" s="14"/>
      <c r="O21" s="14">
        <v>490</v>
      </c>
      <c r="P21" s="14"/>
      <c r="Q21" s="24">
        <v>225</v>
      </c>
      <c r="R21" s="24">
        <v>240</v>
      </c>
      <c r="S21" s="14"/>
      <c r="T21" s="14">
        <v>240</v>
      </c>
      <c r="U21" s="21">
        <f>O21+T21</f>
        <v>730</v>
      </c>
      <c r="V21" s="24">
        <v>450</v>
      </c>
      <c r="W21" s="24">
        <v>475</v>
      </c>
      <c r="X21" s="24">
        <v>510</v>
      </c>
      <c r="Y21" s="24">
        <v>510</v>
      </c>
      <c r="Z21" s="24">
        <v>1240</v>
      </c>
    </row>
    <row r="22" spans="1:78" x14ac:dyDescent="0.25">
      <c r="A22" s="24" t="s">
        <v>13</v>
      </c>
      <c r="B22" s="17" t="s">
        <v>16</v>
      </c>
      <c r="C22" s="17" t="s">
        <v>72</v>
      </c>
      <c r="D22" s="15"/>
      <c r="E22" s="24">
        <v>159.4</v>
      </c>
      <c r="F22" s="24">
        <v>165</v>
      </c>
      <c r="G22" s="15"/>
      <c r="H22" s="15"/>
      <c r="I22" s="24">
        <v>11</v>
      </c>
      <c r="J22" s="15"/>
      <c r="K22" s="15"/>
      <c r="L22" s="24">
        <v>325</v>
      </c>
      <c r="M22" s="24">
        <v>350</v>
      </c>
      <c r="N22" s="24">
        <v>375</v>
      </c>
      <c r="O22" s="24">
        <v>375</v>
      </c>
      <c r="P22" s="14"/>
      <c r="Q22" s="24">
        <v>205</v>
      </c>
      <c r="R22" s="14"/>
      <c r="S22" s="14"/>
      <c r="T22" s="14">
        <v>205</v>
      </c>
      <c r="U22" s="21">
        <f t="shared" si="0"/>
        <v>580</v>
      </c>
      <c r="V22" s="24">
        <v>445</v>
      </c>
      <c r="W22" s="24">
        <v>500</v>
      </c>
      <c r="X22" s="24">
        <v>-550</v>
      </c>
      <c r="Y22" s="24">
        <v>500</v>
      </c>
      <c r="Z22" s="24">
        <v>1080</v>
      </c>
    </row>
    <row r="23" spans="1:78" x14ac:dyDescent="0.25">
      <c r="A23" s="24" t="s">
        <v>13</v>
      </c>
      <c r="B23" s="17" t="s">
        <v>14</v>
      </c>
      <c r="C23" s="17" t="s">
        <v>74</v>
      </c>
      <c r="D23" s="15"/>
      <c r="E23" s="24">
        <v>159.4</v>
      </c>
      <c r="F23" s="24">
        <v>165</v>
      </c>
      <c r="G23" s="15"/>
      <c r="H23" s="15"/>
      <c r="I23" s="24">
        <v>12</v>
      </c>
      <c r="J23" s="15"/>
      <c r="K23" s="15"/>
      <c r="L23" s="24">
        <v>335</v>
      </c>
      <c r="M23" s="24">
        <v>-365</v>
      </c>
      <c r="N23" s="24">
        <v>365</v>
      </c>
      <c r="O23" s="14">
        <v>365</v>
      </c>
      <c r="P23" s="14"/>
      <c r="Q23" s="24">
        <v>165</v>
      </c>
      <c r="R23" s="14"/>
      <c r="S23" s="14"/>
      <c r="T23" s="14">
        <v>165</v>
      </c>
      <c r="U23" s="21">
        <f t="shared" si="0"/>
        <v>530</v>
      </c>
      <c r="V23" s="24">
        <v>340</v>
      </c>
      <c r="W23" s="24">
        <v>365</v>
      </c>
      <c r="X23" s="24">
        <v>380</v>
      </c>
      <c r="Y23" s="24">
        <v>380</v>
      </c>
      <c r="Z23" s="24">
        <v>910</v>
      </c>
    </row>
    <row r="24" spans="1:78" ht="12.75" customHeight="1" x14ac:dyDescent="0.25">
      <c r="A24" s="16"/>
      <c r="B24" s="17"/>
      <c r="C24" s="17"/>
      <c r="D24" s="18" t="s">
        <v>20</v>
      </c>
      <c r="E24" s="18"/>
      <c r="F24" s="18"/>
      <c r="G24" s="18"/>
      <c r="H24" s="19"/>
      <c r="I24" s="16"/>
      <c r="J24" s="14"/>
      <c r="K24" s="18"/>
      <c r="L24" s="16"/>
      <c r="M24" s="16"/>
      <c r="N24" s="16"/>
      <c r="O24" s="21"/>
      <c r="P24" s="22"/>
      <c r="Q24" s="16"/>
      <c r="R24" s="16"/>
      <c r="S24" s="16"/>
      <c r="T24" s="21"/>
      <c r="U24" s="21">
        <f t="shared" si="0"/>
        <v>0</v>
      </c>
      <c r="V24" s="16"/>
      <c r="W24" s="16"/>
      <c r="X24" s="16"/>
      <c r="Y24" s="21"/>
      <c r="Z24" s="21"/>
      <c r="AA24" s="9"/>
      <c r="AB24" s="9"/>
      <c r="AC24" s="8"/>
      <c r="AD24" s="10"/>
      <c r="AE24" s="7"/>
      <c r="AF24" s="5"/>
      <c r="AG24" s="5"/>
      <c r="AU24" s="11"/>
      <c r="AV24" s="12"/>
      <c r="AW24" s="11"/>
      <c r="AX24" s="13"/>
      <c r="AY24" s="13"/>
      <c r="AZ24" s="13"/>
      <c r="BA24" s="5"/>
      <c r="BO24" s="5"/>
      <c r="BT24" s="5"/>
      <c r="BY24" s="5"/>
      <c r="BZ24" s="5"/>
    </row>
    <row r="25" spans="1:78" x14ac:dyDescent="0.25">
      <c r="A25" s="24" t="s">
        <v>13</v>
      </c>
      <c r="B25" s="17" t="s">
        <v>50</v>
      </c>
      <c r="C25" s="17" t="s">
        <v>75</v>
      </c>
      <c r="D25" s="15"/>
      <c r="E25" s="24">
        <v>182.8</v>
      </c>
      <c r="F25" s="24">
        <v>181</v>
      </c>
      <c r="G25" s="15"/>
      <c r="H25" s="15"/>
      <c r="I25" s="24">
        <v>12</v>
      </c>
      <c r="J25" s="15"/>
      <c r="K25" s="15"/>
      <c r="L25" s="24">
        <v>465</v>
      </c>
      <c r="M25" s="24">
        <v>-525</v>
      </c>
      <c r="N25" s="14"/>
      <c r="O25" s="1">
        <v>465</v>
      </c>
      <c r="P25" s="24">
        <v>300</v>
      </c>
      <c r="Q25" s="24">
        <v>255</v>
      </c>
      <c r="R25" s="1"/>
      <c r="S25" s="1"/>
      <c r="T25" s="1">
        <v>255</v>
      </c>
      <c r="U25" s="21">
        <f t="shared" si="0"/>
        <v>720</v>
      </c>
      <c r="V25" s="24">
        <v>475</v>
      </c>
      <c r="W25" s="24">
        <v>515</v>
      </c>
      <c r="X25" s="24">
        <v>540</v>
      </c>
      <c r="Y25" s="24">
        <v>765</v>
      </c>
      <c r="Z25" s="24">
        <v>1305</v>
      </c>
    </row>
    <row r="26" spans="1:78" x14ac:dyDescent="0.25">
      <c r="A26" s="24" t="s">
        <v>13</v>
      </c>
      <c r="B26" s="17" t="s">
        <v>84</v>
      </c>
      <c r="C26" s="17" t="s">
        <v>74</v>
      </c>
      <c r="D26" s="15"/>
      <c r="E26" s="24">
        <v>175.8</v>
      </c>
      <c r="F26" s="24">
        <v>181</v>
      </c>
      <c r="G26" s="15"/>
      <c r="H26" s="15"/>
      <c r="I26" s="24">
        <v>12</v>
      </c>
      <c r="J26" s="15"/>
      <c r="K26" s="15"/>
      <c r="L26" s="24">
        <v>315</v>
      </c>
      <c r="M26" s="24">
        <v>355</v>
      </c>
      <c r="N26" s="24">
        <v>385</v>
      </c>
      <c r="O26" s="1">
        <v>385</v>
      </c>
      <c r="P26" s="14"/>
      <c r="Q26" s="24">
        <v>195</v>
      </c>
      <c r="R26" s="1"/>
      <c r="S26" s="1"/>
      <c r="T26" s="1">
        <v>195</v>
      </c>
      <c r="U26" s="21">
        <f t="shared" si="0"/>
        <v>580</v>
      </c>
      <c r="V26" s="24">
        <v>405</v>
      </c>
      <c r="W26" s="24">
        <v>460</v>
      </c>
      <c r="X26" s="24">
        <v>510</v>
      </c>
      <c r="Y26" s="24">
        <v>580</v>
      </c>
      <c r="Z26" s="24">
        <v>1090</v>
      </c>
    </row>
    <row r="27" spans="1:78" x14ac:dyDescent="0.25">
      <c r="A27" s="24" t="s">
        <v>13</v>
      </c>
      <c r="B27" s="17" t="s">
        <v>15</v>
      </c>
      <c r="C27" s="17" t="s">
        <v>78</v>
      </c>
      <c r="D27" s="15"/>
      <c r="E27" s="24">
        <v>170.8</v>
      </c>
      <c r="F27" s="24">
        <v>181</v>
      </c>
      <c r="G27" s="15"/>
      <c r="H27" s="15"/>
      <c r="I27" s="24">
        <v>11</v>
      </c>
      <c r="J27" s="15"/>
      <c r="K27" s="15"/>
      <c r="L27" s="24">
        <v>350</v>
      </c>
      <c r="M27" s="24">
        <v>375</v>
      </c>
      <c r="N27" s="24">
        <v>-405</v>
      </c>
      <c r="O27" s="1">
        <v>375</v>
      </c>
      <c r="P27" s="24">
        <v>240</v>
      </c>
      <c r="Q27" s="24">
        <v>215</v>
      </c>
      <c r="R27" s="1"/>
      <c r="S27" s="1"/>
      <c r="T27" s="1">
        <v>215</v>
      </c>
      <c r="U27" s="21">
        <f t="shared" si="0"/>
        <v>590</v>
      </c>
      <c r="V27" s="24">
        <v>345</v>
      </c>
      <c r="W27" s="24">
        <v>375</v>
      </c>
      <c r="X27" s="14"/>
      <c r="Y27" s="24">
        <v>615</v>
      </c>
      <c r="Z27" s="24">
        <v>990</v>
      </c>
    </row>
    <row r="28" spans="1:78" ht="12.75" customHeight="1" x14ac:dyDescent="0.25">
      <c r="A28" s="16"/>
      <c r="B28" s="17"/>
      <c r="C28" s="17"/>
      <c r="D28" s="18"/>
      <c r="E28" s="18"/>
      <c r="F28" s="18"/>
      <c r="G28" s="18"/>
      <c r="H28" s="19"/>
      <c r="I28" s="16"/>
      <c r="J28" s="14"/>
      <c r="K28" s="18"/>
      <c r="L28" s="20"/>
      <c r="M28" s="20"/>
      <c r="N28" s="16"/>
      <c r="O28" s="21"/>
      <c r="P28" s="22"/>
      <c r="Q28" s="20"/>
      <c r="R28" s="23"/>
      <c r="S28" s="16"/>
      <c r="T28" s="21"/>
      <c r="U28" s="21"/>
      <c r="V28" s="20"/>
      <c r="W28" s="20"/>
      <c r="X28" s="20"/>
      <c r="Y28" s="21"/>
      <c r="Z28" s="21"/>
      <c r="AA28" s="9"/>
      <c r="AB28" s="9"/>
      <c r="AC28" s="8"/>
      <c r="AD28" s="10"/>
      <c r="AE28" s="7"/>
      <c r="AF28" s="5"/>
      <c r="AG28" s="5"/>
      <c r="AU28" s="11"/>
      <c r="AV28" s="12"/>
      <c r="AW28" s="11"/>
      <c r="AX28" s="13"/>
      <c r="AY28" s="13"/>
      <c r="AZ28" s="13"/>
      <c r="BA28" s="5"/>
      <c r="BO28" s="5"/>
      <c r="BT28" s="5"/>
      <c r="BY28" s="5"/>
      <c r="BZ28" s="5"/>
    </row>
    <row r="29" spans="1:78" ht="12.75" customHeight="1" x14ac:dyDescent="0.25">
      <c r="A29" s="16" t="s">
        <v>18</v>
      </c>
      <c r="B29" s="17" t="s">
        <v>31</v>
      </c>
      <c r="C29" s="17" t="s">
        <v>75</v>
      </c>
      <c r="D29" s="18" t="s">
        <v>20</v>
      </c>
      <c r="E29" s="18">
        <v>193.8</v>
      </c>
      <c r="F29" s="18">
        <f ca="1">VLOOKUP(IF($F$7="WtCls (lb)",E29/2.2046,E29),[1]DATA!$D$3:$H$16,IF(LEFT(D29,1)="M",2,3)+IF(AND(I29,I29&lt;24),2,0),TRUE)</f>
        <v>198</v>
      </c>
      <c r="G29" s="18">
        <v>73</v>
      </c>
      <c r="H29" s="19" t="e">
        <f ca="1">IF(AND(VALUE(E29)&gt;0,OR(LEFT(D29,1)="M",LEFT(D29,1)="F")),IF(LEFT(D29,1)="M",Wilks_Men(IF(RIGHT($F$7,4)="(lb)",E29/2.2046,E29)),Wilks_Women(IF(RIGHT($F$7,4)="(lb)",E29/2.2046,E29))),0)</f>
        <v>#REF!</v>
      </c>
      <c r="I29" s="16">
        <v>12</v>
      </c>
      <c r="J29" s="14" t="e">
        <f>IF(I29,VLOOKUP(I29,[1]DATA!$A$2:$B$53,2,TRUE),0)</f>
        <v>#N/A</v>
      </c>
      <c r="K29" s="18">
        <v>5</v>
      </c>
      <c r="L29" s="20">
        <v>500</v>
      </c>
      <c r="M29" s="20">
        <v>550</v>
      </c>
      <c r="N29" s="20">
        <v>585</v>
      </c>
      <c r="O29" s="21">
        <f>IF(MAX(BL29:BN29)&gt;0,MAX(ABS(L29)*BL29,ABS(M29)*BM29,ABS(N29)*BN29),0)</f>
        <v>585</v>
      </c>
      <c r="P29" s="22"/>
      <c r="Q29" s="20">
        <v>235</v>
      </c>
      <c r="R29" s="20">
        <v>260</v>
      </c>
      <c r="S29" s="16"/>
      <c r="T29" s="21">
        <f>IF(MAX(BQ29:BS29)&gt;0,MAX(ABS(Q29)*BQ29,ABS(R29)*BR29,ABS(S29)*BS29),0)</f>
        <v>260</v>
      </c>
      <c r="U29" s="21">
        <f>IF(OR(O29=0,T29=0),0,O29+T29)</f>
        <v>845</v>
      </c>
      <c r="V29" s="20">
        <v>525</v>
      </c>
      <c r="W29" s="20">
        <v>610</v>
      </c>
      <c r="X29" s="16"/>
      <c r="Y29" s="21">
        <f>IF(MAX(BV29:BX29)&gt;0,MAX(ABS(V29)*BV29,ABS(W29)*BW29,ABS(X29)*BX29),0)</f>
        <v>610</v>
      </c>
      <c r="Z29" s="21">
        <f>U29+Y29</f>
        <v>1455</v>
      </c>
      <c r="AA29" s="9" t="e">
        <f ca="1">IF($E$3="Lb",Z29*H29/2.2046,Z29*H29)</f>
        <v>#REF!</v>
      </c>
      <c r="AB29" s="9" t="e">
        <f ca="1">IF(AND(I29&gt;23,I29&lt;40),0,AA29*J29)</f>
        <v>#REF!</v>
      </c>
      <c r="AC29" s="8" t="e">
        <f ca="1">OFFSET([1]Setup!$F$1,MATCH(D29,[1]Setup!B:B,0)-1,0)</f>
        <v>#VALUE!</v>
      </c>
      <c r="AD29" s="10" t="str">
        <f ca="1">IF(OR(Z29=0,AU29=0),"",CONCATENATE(OFFSET($AZ$7,MATCH(AW29,AX:AX,0)-7,0),"-",D29,IF(AC29&gt;1,"","-"),IF(AC29&gt;1,"",F29),"-",$AU$7))</f>
        <v/>
      </c>
      <c r="AE29" s="7"/>
      <c r="AF29" s="5" t="e">
        <f ca="1">IF(OR(VALUE(LEFT(AD29,1))&gt;5,Z29=0),0,VLOOKUP(VALUE(LEFT(AD29,1)),$CB$1:$CC$5,2))</f>
        <v>#VALUE!</v>
      </c>
      <c r="AG29" s="5" t="e">
        <f ca="1">SUMIF(INDIRECT($AH$6),C29,INDIRECT($AH$5))</f>
        <v>#REF!</v>
      </c>
      <c r="AU29" s="11">
        <f ca="1">IF(ISERROR(FIND($AU$7,AE29)),0,1)</f>
        <v>0</v>
      </c>
      <c r="AV29" s="12">
        <f ca="1">IF(OR(D29="",E29="",AU29=0),0,MATCH(D29,[1]Setup!B:B,0)*10000000+IF(AC29&gt;1,0,((1000-IF(RIGHT(F29)="+",400,F29)))*1000000-E29/10)-BZ29/10000-G29/1000000+IF(AC29=1,Z29,IF(AC29=2,AA29,AB29)))</f>
        <v>0</v>
      </c>
      <c r="AW29" s="11">
        <f ca="1">RANK(AV29,INDIRECT($AV$6))</f>
        <v>1</v>
      </c>
      <c r="AX29" s="13">
        <f>AX19+1</f>
        <v>14</v>
      </c>
      <c r="AY29" s="13" t="e">
        <f ca="1">CONCATENATE(OFFSET($D$7,MATCH(AX29,AW:AW,0)-7,0),IF(OFFSET($AC$7,MATCH(AX29,AW:AW,0)-7,0)&gt;1,0,OFFSET($F$7,MATCH(AX29,AW:AW,0)-7,0)))</f>
        <v>#REF!</v>
      </c>
      <c r="AZ29" s="13">
        <f ca="1">IF(ISERROR(AY19),1,IF(AY29=AY19,AZ19+1,1))</f>
        <v>1</v>
      </c>
      <c r="BA29" s="5" t="e">
        <f>HLOOKUP($A29,$BA$1:$BH$2,2,FALSE)</f>
        <v>#N/A</v>
      </c>
      <c r="BB29" s="4" t="str">
        <f ca="1">IF(INDIRECT(ADDRESS(ROW(BB29),$BB$4))="","",ABS(INDIRECT(ADDRESS(ROW(BB29),$BB$4)))+0.0001*INDIRECT(ADDRESS(ROW(BB29),7)))</f>
        <v/>
      </c>
      <c r="BL29" s="4">
        <v>1</v>
      </c>
      <c r="BM29" s="4">
        <v>1</v>
      </c>
      <c r="BN29" s="4">
        <v>1</v>
      </c>
      <c r="BO29" s="5">
        <f>IF(BN29=1,3,IF(BM29=1,2,IF(BL29=1,1,0)))</f>
        <v>3</v>
      </c>
      <c r="BQ29" s="4">
        <v>1</v>
      </c>
      <c r="BR29" s="4">
        <v>1</v>
      </c>
      <c r="BS29" s="4">
        <v>0</v>
      </c>
      <c r="BT29" s="5">
        <f>IF(BS29=1,3,IF(BR29=1,2,IF(BQ29=1,1,0)))</f>
        <v>2</v>
      </c>
      <c r="BV29" s="4">
        <v>1</v>
      </c>
      <c r="BW29" s="4">
        <v>1</v>
      </c>
      <c r="BX29" s="4">
        <v>0</v>
      </c>
      <c r="BY29" s="5">
        <f>IF(BX29=1,3,IF(BW29=1,2,IF(BV29=1,1,0)))</f>
        <v>2</v>
      </c>
      <c r="BZ29" s="5">
        <f ca="1">(CODE(A29)-64)*3+IF($AU$7="SQ",BO29,IF($AU$7="BP",BT29,BY29))</f>
        <v>11</v>
      </c>
    </row>
    <row r="30" spans="1:78" ht="12.75" customHeight="1" x14ac:dyDescent="0.25">
      <c r="A30" s="16" t="s">
        <v>18</v>
      </c>
      <c r="B30" s="17" t="s">
        <v>27</v>
      </c>
      <c r="C30" s="17" t="s">
        <v>72</v>
      </c>
      <c r="D30" s="18" t="s">
        <v>20</v>
      </c>
      <c r="E30" s="18">
        <v>187.2</v>
      </c>
      <c r="F30" s="18">
        <f ca="1">VLOOKUP(IF($F$7="WtCls (lb)",E30/2.2046,E30),[1]DATA!$D$3:$H$16,IF(LEFT(D30,1)="M",2,3)+IF(AND(I30,I30&lt;24),2,0),TRUE)</f>
        <v>198</v>
      </c>
      <c r="G30" s="18">
        <v>34</v>
      </c>
      <c r="H30" s="19" t="e">
        <f ca="1">IF(AND(VALUE(E30)&gt;0,OR(LEFT(D30,1)="M",LEFT(D30,1)="F")),IF(LEFT(D30,1)="M",Wilks_Men(IF(RIGHT($F$7,4)="(lb)",E30/2.2046,E30)),Wilks_Women(IF(RIGHT($F$7,4)="(lb)",E30/2.2046,E30))),0)</f>
        <v>#REF!</v>
      </c>
      <c r="I30" s="16">
        <v>12</v>
      </c>
      <c r="J30" s="14" t="e">
        <f>IF(I30,VLOOKUP(I30,[1]DATA!$A$2:$B$53,2,TRUE),0)</f>
        <v>#N/A</v>
      </c>
      <c r="K30" s="18">
        <v>8</v>
      </c>
      <c r="L30" s="20">
        <v>385</v>
      </c>
      <c r="M30" s="23">
        <v>-410</v>
      </c>
      <c r="N30" s="20">
        <v>410</v>
      </c>
      <c r="O30" s="21">
        <f>IF(MAX(BL30:BN30)&gt;0,MAX(ABS(L30)*BL30,ABS(M30)*BM30,ABS(N30)*BN30),0)</f>
        <v>410</v>
      </c>
      <c r="P30" s="22"/>
      <c r="Q30" s="20">
        <v>245</v>
      </c>
      <c r="R30" s="16"/>
      <c r="S30" s="16"/>
      <c r="T30" s="21">
        <f>IF(MAX(BQ30:BS30)&gt;0,MAX(ABS(Q30)*BQ30,ABS(R30)*BR30,ABS(S30)*BS30),0)</f>
        <v>245</v>
      </c>
      <c r="U30" s="21">
        <f>IF(OR(O30=0,T30=0),0,O30+T30)</f>
        <v>655</v>
      </c>
      <c r="V30" s="20">
        <v>540</v>
      </c>
      <c r="W30" s="23">
        <v>-600</v>
      </c>
      <c r="X30" s="20">
        <v>600</v>
      </c>
      <c r="Y30" s="21">
        <f>IF(MAX(BV30:BX30)&gt;0,MAX(ABS(V30)*BV30,ABS(W30)*BW30,ABS(X30)*BX30),0)</f>
        <v>600</v>
      </c>
      <c r="Z30" s="21">
        <f>U30+Y30</f>
        <v>1255</v>
      </c>
      <c r="AA30" s="9" t="e">
        <f ca="1">IF($E$3="Lb",Z30*H30/2.2046,Z30*H30)</f>
        <v>#REF!</v>
      </c>
      <c r="AB30" s="9" t="e">
        <f ca="1">IF(AND(I30&gt;23,I30&lt;40),0,AA30*J30)</f>
        <v>#REF!</v>
      </c>
      <c r="AC30" s="8" t="e">
        <f ca="1">OFFSET([1]Setup!$F$1,MATCH(D30,[1]Setup!B:B,0)-1,0)</f>
        <v>#VALUE!</v>
      </c>
      <c r="AD30" s="10" t="str">
        <f ca="1">IF(OR(Z30=0,AU30=0),"",CONCATENATE(OFFSET($AZ$7,MATCH(AW30,AX:AX,0)-7,0),"-",D30,IF(AC30&gt;1,"","-"),IF(AC30&gt;1,"",F30),"-",$AU$7))</f>
        <v/>
      </c>
      <c r="AE30" s="7"/>
      <c r="AF30" s="5" t="e">
        <f ca="1">IF(OR(VALUE(LEFT(AD30,1))&gt;5,Z30=0),0,VLOOKUP(VALUE(LEFT(AD30,1)),$CB$1:$CC$5,2))</f>
        <v>#VALUE!</v>
      </c>
      <c r="AG30" s="5" t="e">
        <f ca="1">SUMIF(INDIRECT($AH$6),C30,INDIRECT($AH$5))</f>
        <v>#REF!</v>
      </c>
      <c r="AU30" s="11">
        <f ca="1">IF(ISERROR(FIND($AU$7,AE30)),0,1)</f>
        <v>0</v>
      </c>
      <c r="AV30" s="12">
        <f ca="1">IF(OR(D30="",E30="",AU30=0),0,MATCH(D30,[1]Setup!B:B,0)*10000000+IF(AC30&gt;1,0,((1000-IF(RIGHT(F30)="+",400,F30)))*1000000-E30/10)-BZ30/10000-G30/1000000+IF(AC30=1,Z30,IF(AC30=2,AA30,AB30)))</f>
        <v>0</v>
      </c>
      <c r="AW30" s="11">
        <f ca="1">RANK(AV30,INDIRECT($AV$6))</f>
        <v>1</v>
      </c>
      <c r="AX30" s="13">
        <f>AX29+1</f>
        <v>15</v>
      </c>
      <c r="AY30" s="13" t="e">
        <f ca="1">CONCATENATE(OFFSET($D$7,MATCH(AX30,AW:AW,0)-7,0),IF(OFFSET($AC$7,MATCH(AX30,AW:AW,0)-7,0)&gt;1,0,OFFSET($F$7,MATCH(AX30,AW:AW,0)-7,0)))</f>
        <v>#REF!</v>
      </c>
      <c r="AZ30" s="13">
        <f ca="1">IF(ISERROR(AY29),1,IF(AY30=AY29,AZ29+1,1))</f>
        <v>1</v>
      </c>
      <c r="BA30" s="5" t="e">
        <f>HLOOKUP($A30,$BA$1:$BH$2,2,FALSE)</f>
        <v>#N/A</v>
      </c>
      <c r="BB30" s="4">
        <f ca="1">IF(INDIRECT(ADDRESS(ROW(BB30),$BB$4))="","",ABS(INDIRECT(ADDRESS(ROW(BB30),$BB$4)))+0.0001*INDIRECT(ADDRESS(ROW(BB30),7)))</f>
        <v>600.00340000000006</v>
      </c>
      <c r="BL30" s="4">
        <v>1</v>
      </c>
      <c r="BM30" s="4">
        <v>-1</v>
      </c>
      <c r="BN30" s="4">
        <v>1</v>
      </c>
      <c r="BO30" s="5">
        <f>IF(BN30=1,3,IF(BM30=1,2,IF(BL30=1,1,0)))</f>
        <v>3</v>
      </c>
      <c r="BQ30" s="4">
        <v>1</v>
      </c>
      <c r="BR30" s="4">
        <v>0</v>
      </c>
      <c r="BS30" s="4">
        <v>0</v>
      </c>
      <c r="BT30" s="5">
        <f>IF(BS30=1,3,IF(BR30=1,2,IF(BQ30=1,1,0)))</f>
        <v>1</v>
      </c>
      <c r="BV30" s="4">
        <v>1</v>
      </c>
      <c r="BW30" s="4">
        <v>-1</v>
      </c>
      <c r="BX30" s="4">
        <v>1</v>
      </c>
      <c r="BY30" s="5">
        <f>IF(BX30=1,3,IF(BW30=1,2,IF(BV30=1,1,0)))</f>
        <v>3</v>
      </c>
      <c r="BZ30" s="5">
        <f ca="1">(CODE(A30)-64)*3+IF($AU$7="SQ",BO30,IF($AU$7="BP",BT30,BY30))</f>
        <v>12</v>
      </c>
    </row>
    <row r="31" spans="1:78" ht="12.75" customHeight="1" x14ac:dyDescent="0.25">
      <c r="A31" s="16" t="s">
        <v>18</v>
      </c>
      <c r="B31" s="17" t="s">
        <v>22</v>
      </c>
      <c r="C31" s="17" t="s">
        <v>72</v>
      </c>
      <c r="D31" s="18" t="s">
        <v>20</v>
      </c>
      <c r="E31" s="18">
        <v>186</v>
      </c>
      <c r="F31" s="18">
        <f ca="1">VLOOKUP(IF($F$7="WtCls (lb)",E31/2.2046,E31),[1]DATA!$D$3:$H$16,IF(LEFT(D31,1)="M",2,3)+IF(AND(I31,I31&lt;24),2,0),TRUE)</f>
        <v>198</v>
      </c>
      <c r="G31" s="18">
        <v>26</v>
      </c>
      <c r="H31" s="19" t="e">
        <f ca="1">IF(AND(VALUE(E31)&gt;0,OR(LEFT(D31,1)="M",LEFT(D31,1)="F")),IF(LEFT(D31,1)="M",Wilks_Men(IF(RIGHT($F$7,4)="(lb)",E31/2.2046,E31)),Wilks_Women(IF(RIGHT($F$7,4)="(lb)",E31/2.2046,E31))),0)</f>
        <v>#REF!</v>
      </c>
      <c r="I31" s="16">
        <v>11</v>
      </c>
      <c r="J31" s="14" t="e">
        <f>IF(I31,VLOOKUP(I31,[1]DATA!$A$2:$B$53,2,TRUE),0)</f>
        <v>#N/A</v>
      </c>
      <c r="K31" s="18">
        <v>8</v>
      </c>
      <c r="L31" s="20">
        <v>350</v>
      </c>
      <c r="M31" s="20">
        <v>405</v>
      </c>
      <c r="N31" s="20">
        <v>410</v>
      </c>
      <c r="O31" s="21">
        <f>IF(MAX(BL31:BN31)&gt;0,MAX(ABS(L31)*BL31,ABS(M31)*BM31,ABS(N31)*BN31),0)</f>
        <v>410</v>
      </c>
      <c r="P31" s="22"/>
      <c r="Q31" s="20">
        <v>205</v>
      </c>
      <c r="R31" s="16"/>
      <c r="S31" s="16"/>
      <c r="T31" s="21">
        <f>IF(MAX(BQ31:BS31)&gt;0,MAX(ABS(Q31)*BQ31,ABS(R31)*BR31,ABS(S31)*BS31),0)</f>
        <v>205</v>
      </c>
      <c r="U31" s="21">
        <f>IF(OR(O31=0,T31=0),0,O31+T31)</f>
        <v>615</v>
      </c>
      <c r="V31" s="20">
        <v>405</v>
      </c>
      <c r="W31" s="20">
        <v>430</v>
      </c>
      <c r="X31" s="23">
        <v>-450</v>
      </c>
      <c r="Y31" s="21">
        <f>IF(MAX(BV31:BX31)&gt;0,MAX(ABS(V31)*BV31,ABS(W31)*BW31,ABS(X31)*BX31),0)</f>
        <v>430</v>
      </c>
      <c r="Z31" s="21">
        <f>U31+Y31</f>
        <v>1045</v>
      </c>
      <c r="AA31" s="9" t="e">
        <f ca="1">IF($E$3="Lb",Z31*H31/2.2046,Z31*H31)</f>
        <v>#REF!</v>
      </c>
      <c r="AB31" s="9" t="e">
        <f ca="1">IF(AND(I31&gt;23,I31&lt;40),0,AA31*J31)</f>
        <v>#REF!</v>
      </c>
      <c r="AC31" s="8" t="e">
        <f ca="1">OFFSET([1]Setup!$F$1,MATCH(D31,[1]Setup!B:B,0)-1,0)</f>
        <v>#VALUE!</v>
      </c>
      <c r="AD31" s="10" t="str">
        <f ca="1">IF(OR(Z31=0,AU31=0),"",CONCATENATE(OFFSET($AZ$7,MATCH(AW31,AX:AX,0)-7,0),"-",D31,IF(AC31&gt;1,"","-"),IF(AC31&gt;1,"",F31),"-",$AU$7))</f>
        <v/>
      </c>
      <c r="AE31" s="7"/>
      <c r="AF31" s="5" t="e">
        <f ca="1">IF(OR(VALUE(LEFT(AD31,1))&gt;5,Z31=0),0,VLOOKUP(VALUE(LEFT(AD31,1)),$CB$1:$CC$5,2))</f>
        <v>#VALUE!</v>
      </c>
      <c r="AG31" s="5" t="e">
        <f ca="1">SUMIF(INDIRECT($AH$6),C31,INDIRECT($AH$5))</f>
        <v>#REF!</v>
      </c>
      <c r="AU31" s="11">
        <f ca="1">IF(ISERROR(FIND($AU$7,AE31)),0,1)</f>
        <v>0</v>
      </c>
      <c r="AV31" s="12">
        <f ca="1">IF(OR(D31="",E31="",AU31=0),0,MATCH(D31,[1]Setup!B:B,0)*10000000+IF(AC31&gt;1,0,((1000-IF(RIGHT(F31)="+",400,F31)))*1000000-E31/10)-BZ31/10000-G31/1000000+IF(AC31=1,Z31,IF(AC31=2,AA31,AB31)))</f>
        <v>0</v>
      </c>
      <c r="AW31" s="11">
        <f ca="1">RANK(AV31,INDIRECT($AV$6))</f>
        <v>1</v>
      </c>
      <c r="AX31" s="13">
        <f>AX30+1</f>
        <v>16</v>
      </c>
      <c r="AY31" s="13" t="e">
        <f ca="1">CONCATENATE(OFFSET($D$7,MATCH(AX31,AW:AW,0)-7,0),IF(OFFSET($AC$7,MATCH(AX31,AW:AW,0)-7,0)&gt;1,0,OFFSET($F$7,MATCH(AX31,AW:AW,0)-7,0)))</f>
        <v>#REF!</v>
      </c>
      <c r="AZ31" s="13">
        <f ca="1">IF(ISERROR(AY30),1,IF(AY31=AY30,AZ30+1,1))</f>
        <v>1</v>
      </c>
      <c r="BA31" s="5" t="e">
        <f>HLOOKUP($A31,$BA$1:$BH$2,2,FALSE)</f>
        <v>#N/A</v>
      </c>
      <c r="BB31" s="4">
        <f ca="1">IF(INDIRECT(ADDRESS(ROW(BB31),$BB$4))="","",ABS(INDIRECT(ADDRESS(ROW(BB31),$BB$4)))+0.0001*INDIRECT(ADDRESS(ROW(BB31),7)))</f>
        <v>450.00259999999997</v>
      </c>
      <c r="BL31" s="4">
        <v>1</v>
      </c>
      <c r="BM31" s="4">
        <v>1</v>
      </c>
      <c r="BN31" s="4">
        <v>1</v>
      </c>
      <c r="BO31" s="5">
        <f>IF(BN31=1,3,IF(BM31=1,2,IF(BL31=1,1,0)))</f>
        <v>3</v>
      </c>
      <c r="BQ31" s="4">
        <v>1</v>
      </c>
      <c r="BR31" s="4">
        <v>0</v>
      </c>
      <c r="BS31" s="4">
        <v>0</v>
      </c>
      <c r="BT31" s="5">
        <f>IF(BS31=1,3,IF(BR31=1,2,IF(BQ31=1,1,0)))</f>
        <v>1</v>
      </c>
      <c r="BV31" s="4">
        <v>1</v>
      </c>
      <c r="BW31" s="4">
        <v>1</v>
      </c>
      <c r="BX31" s="4">
        <v>-1</v>
      </c>
      <c r="BY31" s="5">
        <f>IF(BX31=1,3,IF(BW31=1,2,IF(BV31=1,1,0)))</f>
        <v>2</v>
      </c>
      <c r="BZ31" s="5">
        <f ca="1">(CODE(A31)-64)*3+IF($AU$7="SQ",BO31,IF($AU$7="BP",BT31,BY31))</f>
        <v>11</v>
      </c>
    </row>
    <row r="32" spans="1:78" ht="12.75" customHeight="1" x14ac:dyDescent="0.25">
      <c r="A32" s="16" t="s">
        <v>18</v>
      </c>
      <c r="B32" s="17" t="s">
        <v>21</v>
      </c>
      <c r="C32" s="17" t="s">
        <v>76</v>
      </c>
      <c r="D32" s="18" t="s">
        <v>20</v>
      </c>
      <c r="E32" s="18">
        <v>190</v>
      </c>
      <c r="F32" s="18">
        <f ca="1">VLOOKUP(IF($F$7="WtCls (lb)",E32/2.2046,E32),[1]DATA!$D$3:$H$16,IF(LEFT(D32,1)="M",2,3)+IF(AND(I32,I32&lt;24),2,0),TRUE)</f>
        <v>198</v>
      </c>
      <c r="G32" s="18">
        <v>44</v>
      </c>
      <c r="H32" s="19" t="e">
        <f ca="1">IF(AND(VALUE(E32)&gt;0,OR(LEFT(D32,1)="M",LEFT(D32,1)="F")),IF(LEFT(D32,1)="M",Wilks_Men(IF(RIGHT($F$7,4)="(lb)",E32/2.2046,E32)),Wilks_Women(IF(RIGHT($F$7,4)="(lb)",E32/2.2046,E32))),0)</f>
        <v>#REF!</v>
      </c>
      <c r="I32" s="16">
        <v>10</v>
      </c>
      <c r="J32" s="14" t="e">
        <f>IF(I32,VLOOKUP(I32,[1]DATA!$A$2:$B$53,2,TRUE),0)</f>
        <v>#N/A</v>
      </c>
      <c r="K32" s="18">
        <v>8</v>
      </c>
      <c r="L32" s="20">
        <v>240</v>
      </c>
      <c r="M32" s="23">
        <v>-265</v>
      </c>
      <c r="N32" s="20">
        <v>275</v>
      </c>
      <c r="O32" s="21">
        <f>IF(MAX(BL32:BN32)&gt;0,MAX(ABS(L32)*BL32,ABS(M32)*BM32,ABS(N32)*BN32),0)</f>
        <v>275</v>
      </c>
      <c r="P32" s="22"/>
      <c r="Q32" s="20">
        <v>155</v>
      </c>
      <c r="R32" s="16"/>
      <c r="S32" s="16"/>
      <c r="T32" s="21">
        <f>IF(MAX(BQ32:BS32)&gt;0,MAX(ABS(Q32)*BQ32,ABS(R32)*BR32,ABS(S32)*BS32),0)</f>
        <v>155</v>
      </c>
      <c r="U32" s="21">
        <f>IF(OR(O32=0,T32=0),0,O32+T32)</f>
        <v>430</v>
      </c>
      <c r="V32" s="20">
        <v>325</v>
      </c>
      <c r="W32" s="20">
        <v>365</v>
      </c>
      <c r="X32" s="23">
        <v>-395</v>
      </c>
      <c r="Y32" s="21">
        <f>IF(MAX(BV32:BX32)&gt;0,MAX(ABS(V32)*BV32,ABS(W32)*BW32,ABS(X32)*BX32),0)</f>
        <v>365</v>
      </c>
      <c r="Z32" s="21">
        <f>U32+Y32</f>
        <v>795</v>
      </c>
      <c r="AA32" s="9" t="e">
        <f ca="1">IF($E$3="Lb",Z32*H32/2.2046,Z32*H32)</f>
        <v>#REF!</v>
      </c>
      <c r="AB32" s="9" t="e">
        <f ca="1">IF(AND(I32&gt;23,I32&lt;40),0,AA32*J32)</f>
        <v>#REF!</v>
      </c>
      <c r="AC32" s="8" t="e">
        <f ca="1">OFFSET([1]Setup!$F$1,MATCH(D32,[1]Setup!B:B,0)-1,0)</f>
        <v>#VALUE!</v>
      </c>
      <c r="AD32" s="10" t="str">
        <f ca="1">IF(OR(Z32=0,AU32=0),"",CONCATENATE(OFFSET($AZ$7,MATCH(AW32,AX:AX,0)-7,0),"-",D32,IF(AC32&gt;1,"","-"),IF(AC32&gt;1,"",F32),"-",$AU$7))</f>
        <v/>
      </c>
      <c r="AE32" s="7"/>
      <c r="AF32" s="5" t="e">
        <f ca="1">IF(OR(VALUE(LEFT(AD32,1))&gt;5,Z32=0),0,VLOOKUP(VALUE(LEFT(AD32,1)),$CB$1:$CC$5,2))</f>
        <v>#VALUE!</v>
      </c>
      <c r="AG32" s="5" t="e">
        <f ca="1">SUMIF(INDIRECT($AH$6),C32,INDIRECT($AH$5))</f>
        <v>#REF!</v>
      </c>
      <c r="AU32" s="11">
        <f ca="1">IF(ISERROR(FIND($AU$7,AE32)),0,1)</f>
        <v>0</v>
      </c>
      <c r="AV32" s="12">
        <f ca="1">IF(OR(D32="",E32="",AU32=0),0,MATCH(D32,[1]Setup!B:B,0)*10000000+IF(AC32&gt;1,0,((1000-IF(RIGHT(F32)="+",400,F32)))*1000000-E32/10)-BZ32/10000-G32/1000000+IF(AC32=1,Z32,IF(AC32=2,AA32,AB32)))</f>
        <v>0</v>
      </c>
      <c r="AW32" s="11">
        <f ca="1">RANK(AV32,INDIRECT($AV$6))</f>
        <v>1</v>
      </c>
      <c r="AX32" s="13">
        <f>AX31+1</f>
        <v>17</v>
      </c>
      <c r="AY32" s="13" t="e">
        <f ca="1">CONCATENATE(OFFSET($D$7,MATCH(AX32,AW:AW,0)-7,0),IF(OFFSET($AC$7,MATCH(AX32,AW:AW,0)-7,0)&gt;1,0,OFFSET($F$7,MATCH(AX32,AW:AW,0)-7,0)))</f>
        <v>#REF!</v>
      </c>
      <c r="AZ32" s="13">
        <f ca="1">IF(ISERROR(AY31),1,IF(AY32=AY31,AZ31+1,1))</f>
        <v>1</v>
      </c>
      <c r="BA32" s="5" t="e">
        <f>HLOOKUP($A32,$BA$1:$BH$2,2,FALSE)</f>
        <v>#N/A</v>
      </c>
      <c r="BB32" s="4">
        <f ca="1">IF(INDIRECT(ADDRESS(ROW(BB32),$BB$4))="","",ABS(INDIRECT(ADDRESS(ROW(BB32),$BB$4)))+0.0001*INDIRECT(ADDRESS(ROW(BB32),7)))</f>
        <v>395.00439999999998</v>
      </c>
      <c r="BL32" s="4">
        <v>1</v>
      </c>
      <c r="BM32" s="4">
        <v>-1</v>
      </c>
      <c r="BN32" s="4">
        <v>1</v>
      </c>
      <c r="BO32" s="5">
        <f>IF(BN32=1,3,IF(BM32=1,2,IF(BL32=1,1,0)))</f>
        <v>3</v>
      </c>
      <c r="BQ32" s="4">
        <v>1</v>
      </c>
      <c r="BR32" s="4">
        <v>0</v>
      </c>
      <c r="BS32" s="4">
        <v>0</v>
      </c>
      <c r="BT32" s="5">
        <f>IF(BS32=1,3,IF(BR32=1,2,IF(BQ32=1,1,0)))</f>
        <v>1</v>
      </c>
      <c r="BV32" s="4">
        <v>1</v>
      </c>
      <c r="BW32" s="4">
        <v>1</v>
      </c>
      <c r="BX32" s="4">
        <v>-1</v>
      </c>
      <c r="BY32" s="5">
        <f>IF(BX32=1,3,IF(BW32=1,2,IF(BV32=1,1,0)))</f>
        <v>2</v>
      </c>
      <c r="BZ32" s="5">
        <f ca="1">(CODE(A32)-64)*3+IF($AU$7="SQ",BO32,IF($AU$7="BP",BT32,BY32))</f>
        <v>11</v>
      </c>
    </row>
    <row r="33" spans="1:78" ht="12.75" customHeight="1" x14ac:dyDescent="0.25">
      <c r="A33" s="16"/>
      <c r="B33" s="17"/>
      <c r="C33" s="17"/>
      <c r="D33" s="18"/>
      <c r="E33" s="18"/>
      <c r="F33" s="18"/>
      <c r="G33" s="18"/>
      <c r="H33" s="19"/>
      <c r="I33" s="16"/>
      <c r="J33" s="14"/>
      <c r="K33" s="18"/>
      <c r="L33" s="20"/>
      <c r="M33" s="23"/>
      <c r="N33" s="20"/>
      <c r="O33" s="21"/>
      <c r="P33" s="22"/>
      <c r="Q33" s="20"/>
      <c r="R33" s="16"/>
      <c r="S33" s="16"/>
      <c r="T33" s="21"/>
      <c r="U33" s="21"/>
      <c r="V33" s="20"/>
      <c r="W33" s="20"/>
      <c r="X33" s="23"/>
      <c r="Y33" s="21"/>
      <c r="Z33" s="21"/>
      <c r="AA33" s="9"/>
      <c r="AB33" s="9"/>
      <c r="AC33" s="8"/>
      <c r="AD33" s="10"/>
      <c r="AE33" s="7"/>
      <c r="AF33" s="5"/>
      <c r="AG33" s="5"/>
      <c r="AU33" s="11"/>
      <c r="AV33" s="12"/>
      <c r="AW33" s="11"/>
      <c r="AX33" s="13"/>
      <c r="AY33" s="13"/>
      <c r="AZ33" s="13"/>
      <c r="BA33" s="5"/>
      <c r="BO33" s="5"/>
      <c r="BT33" s="5"/>
      <c r="BY33" s="5"/>
      <c r="BZ33" s="5"/>
    </row>
    <row r="34" spans="1:78" ht="12.75" customHeight="1" x14ac:dyDescent="0.25">
      <c r="A34" s="16" t="s">
        <v>18</v>
      </c>
      <c r="B34" s="17" t="s">
        <v>25</v>
      </c>
      <c r="C34" s="17" t="s">
        <v>75</v>
      </c>
      <c r="D34" s="18" t="s">
        <v>20</v>
      </c>
      <c r="E34" s="18">
        <v>200.6</v>
      </c>
      <c r="F34" s="18">
        <f ca="1">VLOOKUP(IF($F$7="WtCls (lb)",E34/2.2046,E34),[1]DATA!$D$3:$H$16,IF(LEFT(D34,1)="M",2,3)+IF(AND(I34,I34&lt;24),2,0),TRUE)</f>
        <v>220</v>
      </c>
      <c r="G34" s="18">
        <v>67</v>
      </c>
      <c r="H34" s="19" t="e">
        <f ca="1">IF(AND(VALUE(E34)&gt;0,OR(LEFT(D34,1)="M",LEFT(D34,1)="F")),IF(LEFT(D34,1)="M",Wilks_Men(IF(RIGHT($F$7,4)="(lb)",E34/2.2046,E34)),Wilks_Women(IF(RIGHT($F$7,4)="(lb)",E34/2.2046,E34))),0)</f>
        <v>#REF!</v>
      </c>
      <c r="I34" s="16">
        <v>10</v>
      </c>
      <c r="J34" s="14" t="e">
        <f>IF(I34,VLOOKUP(I34,[1]DATA!$A$2:$B$53,2,TRUE),0)</f>
        <v>#N/A</v>
      </c>
      <c r="K34" s="18">
        <v>6</v>
      </c>
      <c r="L34" s="20">
        <v>435</v>
      </c>
      <c r="M34" s="20">
        <v>485</v>
      </c>
      <c r="N34" s="16"/>
      <c r="O34" s="21">
        <f>IF(MAX(BL34:BN34)&gt;0,MAX(ABS(L34)*BL34,ABS(M34)*BM34,ABS(N34)*BN34),0)</f>
        <v>485</v>
      </c>
      <c r="P34" s="22"/>
      <c r="Q34" s="20">
        <v>225</v>
      </c>
      <c r="R34" s="20">
        <v>245</v>
      </c>
      <c r="S34" s="16"/>
      <c r="T34" s="21">
        <f>IF(MAX(BQ34:BS34)&gt;0,MAX(ABS(Q34)*BQ34,ABS(R34)*BR34,ABS(S34)*BS34),0)</f>
        <v>245</v>
      </c>
      <c r="U34" s="21">
        <f>IF(OR(O34=0,T34=0),0,O34+T34)</f>
        <v>730</v>
      </c>
      <c r="V34" s="20">
        <v>450</v>
      </c>
      <c r="W34" s="20">
        <v>500</v>
      </c>
      <c r="X34" s="20">
        <v>525</v>
      </c>
      <c r="Y34" s="21">
        <f>IF(MAX(BV34:BX34)&gt;0,MAX(ABS(V34)*BV34,ABS(W34)*BW34,ABS(X34)*BX34),0)</f>
        <v>525</v>
      </c>
      <c r="Z34" s="21">
        <f>U34+Y34</f>
        <v>1255</v>
      </c>
      <c r="AA34" s="9" t="e">
        <f ca="1">IF($E$3="Lb",Z34*H34/2.2046,Z34*H34)</f>
        <v>#REF!</v>
      </c>
      <c r="AB34" s="9" t="e">
        <f ca="1">IF(AND(I34&gt;23,I34&lt;40),0,AA34*J34)</f>
        <v>#REF!</v>
      </c>
      <c r="AC34" s="8" t="e">
        <f ca="1">OFFSET([1]Setup!$F$1,MATCH(D34,[1]Setup!B:B,0)-1,0)</f>
        <v>#VALUE!</v>
      </c>
      <c r="AD34" s="10" t="str">
        <f ca="1">IF(OR(Z34=0,AU34=0),"",CONCATENATE(OFFSET($AZ$7,MATCH(AW34,AX:AX,0)-7,0),"-",D34,IF(AC34&gt;1,"","-"),IF(AC34&gt;1,"",F34),"-",$AU$7))</f>
        <v/>
      </c>
      <c r="AE34" s="7"/>
      <c r="AF34" s="5" t="e">
        <f ca="1">IF(OR(VALUE(LEFT(AD34,1))&gt;5,Z34=0),0,VLOOKUP(VALUE(LEFT(AD34,1)),$CB$1:$CC$5,2))</f>
        <v>#VALUE!</v>
      </c>
      <c r="AG34" s="5" t="e">
        <f ca="1">SUMIF(INDIRECT($AH$6),C34,INDIRECT($AH$5))</f>
        <v>#REF!</v>
      </c>
      <c r="AU34" s="11">
        <f ca="1">IF(ISERROR(FIND($AU$7,AE34)),0,1)</f>
        <v>0</v>
      </c>
      <c r="AV34" s="12">
        <f ca="1">IF(OR(D34="",E34="",AU34=0),0,MATCH(D34,[1]Setup!B:B,0)*10000000+IF(AC34&gt;1,0,((1000-IF(RIGHT(F34)="+",400,F34)))*1000000-E34/10)-BZ34/10000-G34/1000000+IF(AC34=1,Z34,IF(AC34=2,AA34,AB34)))</f>
        <v>0</v>
      </c>
      <c r="AW34" s="11">
        <f ca="1">RANK(AV34,INDIRECT($AV$6))</f>
        <v>1</v>
      </c>
      <c r="AX34" s="13">
        <f>AX32+1</f>
        <v>18</v>
      </c>
      <c r="AY34" s="13" t="e">
        <f ca="1">CONCATENATE(OFFSET($D$7,MATCH(AX34,AW:AW,0)-7,0),IF(OFFSET($AC$7,MATCH(AX34,AW:AW,0)-7,0)&gt;1,0,OFFSET($F$7,MATCH(AX34,AW:AW,0)-7,0)))</f>
        <v>#REF!</v>
      </c>
      <c r="AZ34" s="13">
        <f ca="1">IF(ISERROR(AY32),1,IF(AY34=AY32,AZ32+1,1))</f>
        <v>1</v>
      </c>
      <c r="BA34" s="5" t="e">
        <f>HLOOKUP($A34,$BA$1:$BH$2,2,FALSE)</f>
        <v>#N/A</v>
      </c>
      <c r="BB34" s="4">
        <f ca="1">IF(INDIRECT(ADDRESS(ROW(BB34),$BB$4))="","",ABS(INDIRECT(ADDRESS(ROW(BB34),$BB$4)))+0.0001*INDIRECT(ADDRESS(ROW(BB34),7)))</f>
        <v>525.00670000000002</v>
      </c>
      <c r="BL34" s="4">
        <v>1</v>
      </c>
      <c r="BM34" s="4">
        <v>1</v>
      </c>
      <c r="BN34" s="4">
        <v>0</v>
      </c>
      <c r="BO34" s="5">
        <f>IF(BN34=1,3,IF(BM34=1,2,IF(BL34=1,1,0)))</f>
        <v>2</v>
      </c>
      <c r="BQ34" s="4">
        <v>1</v>
      </c>
      <c r="BR34" s="4">
        <v>1</v>
      </c>
      <c r="BS34" s="4">
        <v>0</v>
      </c>
      <c r="BT34" s="5">
        <f>IF(BS34=1,3,IF(BR34=1,2,IF(BQ34=1,1,0)))</f>
        <v>2</v>
      </c>
      <c r="BV34" s="4">
        <v>1</v>
      </c>
      <c r="BW34" s="4">
        <v>1</v>
      </c>
      <c r="BX34" s="4">
        <v>1</v>
      </c>
      <c r="BY34" s="5">
        <f>IF(BX34=1,3,IF(BW34=1,2,IF(BV34=1,1,0)))</f>
        <v>3</v>
      </c>
      <c r="BZ34" s="5">
        <f ca="1">(CODE(A34)-64)*3+IF($AU$7="SQ",BO34,IF($AU$7="BP",BT34,BY34))</f>
        <v>12</v>
      </c>
    </row>
    <row r="35" spans="1:78" ht="12.75" customHeight="1" x14ac:dyDescent="0.25">
      <c r="A35" s="16" t="s">
        <v>18</v>
      </c>
      <c r="B35" s="17" t="s">
        <v>24</v>
      </c>
      <c r="C35" s="17" t="s">
        <v>74</v>
      </c>
      <c r="D35" s="18" t="s">
        <v>20</v>
      </c>
      <c r="E35" s="18">
        <v>205.2</v>
      </c>
      <c r="F35" s="18">
        <f ca="1">VLOOKUP(IF($F$7="WtCls (lb)",E35/2.2046,E35),[1]DATA!$D$3:$H$16,IF(LEFT(D35,1)="M",2,3)+IF(AND(I35,I35&lt;24),2,0),TRUE)</f>
        <v>220</v>
      </c>
      <c r="G35" s="18">
        <v>87</v>
      </c>
      <c r="H35" s="19" t="e">
        <f ca="1">IF(AND(VALUE(E35)&gt;0,OR(LEFT(D35,1)="M",LEFT(D35,1)="F")),IF(LEFT(D35,1)="M",Wilks_Men(IF(RIGHT($F$7,4)="(lb)",E35/2.2046,E35)),Wilks_Women(IF(RIGHT($F$7,4)="(lb)",E35/2.2046,E35))),0)</f>
        <v>#REF!</v>
      </c>
      <c r="I35" s="16">
        <v>10</v>
      </c>
      <c r="J35" s="14" t="e">
        <f>IF(I35,VLOOKUP(I35,[1]DATA!$A$2:$B$53,2,TRUE),0)</f>
        <v>#N/A</v>
      </c>
      <c r="K35" s="18">
        <v>6</v>
      </c>
      <c r="L35" s="20">
        <v>450</v>
      </c>
      <c r="M35" s="20">
        <v>500</v>
      </c>
      <c r="N35" s="16"/>
      <c r="O35" s="21">
        <f>IF(MAX(BL35:BN35)&gt;0,MAX(ABS(L35)*BL35,ABS(M35)*BM35,ABS(N35)*BN35),0)</f>
        <v>500</v>
      </c>
      <c r="P35" s="22"/>
      <c r="Q35" s="20">
        <v>185</v>
      </c>
      <c r="R35" s="20">
        <v>195</v>
      </c>
      <c r="S35" s="16"/>
      <c r="T35" s="21">
        <f>IF(MAX(BQ35:BS35)&gt;0,MAX(ABS(Q35)*BQ35,ABS(R35)*BR35,ABS(S35)*BS35),0)</f>
        <v>195</v>
      </c>
      <c r="U35" s="21">
        <f>IF(OR(O35=0,T35=0),0,O35+T35)</f>
        <v>695</v>
      </c>
      <c r="V35" s="20">
        <v>440</v>
      </c>
      <c r="W35" s="20">
        <v>475</v>
      </c>
      <c r="X35" s="20">
        <v>500</v>
      </c>
      <c r="Y35" s="21">
        <f>IF(MAX(BV35:BX35)&gt;0,MAX(ABS(V35)*BV35,ABS(W35)*BW35,ABS(X35)*BX35),0)</f>
        <v>500</v>
      </c>
      <c r="Z35" s="21">
        <f>U35+Y35</f>
        <v>1195</v>
      </c>
      <c r="AA35" s="9" t="e">
        <f ca="1">IF($E$3="Lb",Z35*H35/2.2046,Z35*H35)</f>
        <v>#REF!</v>
      </c>
      <c r="AB35" s="9" t="e">
        <f ca="1">IF(AND(I35&gt;23,I35&lt;40),0,AA35*J35)</f>
        <v>#REF!</v>
      </c>
      <c r="AC35" s="8" t="e">
        <f ca="1">OFFSET([1]Setup!$F$1,MATCH(D35,[1]Setup!B:B,0)-1,0)</f>
        <v>#VALUE!</v>
      </c>
      <c r="AD35" s="10" t="str">
        <f ca="1">IF(OR(Z35=0,AU35=0),"",CONCATENATE(OFFSET($AZ$7,MATCH(AW35,AX:AX,0)-7,0),"-",D35,IF(AC35&gt;1,"","-"),IF(AC35&gt;1,"",F35),"-",$AU$7))</f>
        <v/>
      </c>
      <c r="AE35" s="7"/>
      <c r="AF35" s="5" t="e">
        <f ca="1">IF(OR(VALUE(LEFT(AD35,1))&gt;5,Z35=0),0,VLOOKUP(VALUE(LEFT(AD35,1)),$CB$1:$CC$5,2))</f>
        <v>#VALUE!</v>
      </c>
      <c r="AG35" s="5" t="e">
        <f ca="1">SUMIF(INDIRECT($AH$6),C35,INDIRECT($AH$5))</f>
        <v>#REF!</v>
      </c>
      <c r="AU35" s="11">
        <f ca="1">IF(ISERROR(FIND($AU$7,AE35)),0,1)</f>
        <v>0</v>
      </c>
      <c r="AV35" s="12">
        <f ca="1">IF(OR(D35="",E35="",AU35=0),0,MATCH(D35,[1]Setup!B:B,0)*10000000+IF(AC35&gt;1,0,((1000-IF(RIGHT(F35)="+",400,F35)))*1000000-E35/10)-BZ35/10000-G35/1000000+IF(AC35=1,Z35,IF(AC35=2,AA35,AB35)))</f>
        <v>0</v>
      </c>
      <c r="AW35" s="11">
        <f ca="1">RANK(AV35,INDIRECT($AV$6))</f>
        <v>1</v>
      </c>
      <c r="AX35" s="13">
        <f>AX34+1</f>
        <v>19</v>
      </c>
      <c r="AY35" s="13" t="e">
        <f ca="1">CONCATENATE(OFFSET($D$7,MATCH(AX35,AW:AW,0)-7,0),IF(OFFSET($AC$7,MATCH(AX35,AW:AW,0)-7,0)&gt;1,0,OFFSET($F$7,MATCH(AX35,AW:AW,0)-7,0)))</f>
        <v>#REF!</v>
      </c>
      <c r="AZ35" s="13">
        <f ca="1">IF(ISERROR(AY34),1,IF(AY35=AY34,AZ34+1,1))</f>
        <v>1</v>
      </c>
      <c r="BA35" s="5" t="e">
        <f>HLOOKUP($A35,$BA$1:$BH$2,2,FALSE)</f>
        <v>#N/A</v>
      </c>
      <c r="BB35" s="4">
        <f ca="1">IF(INDIRECT(ADDRESS(ROW(BB35),$BB$4))="","",ABS(INDIRECT(ADDRESS(ROW(BB35),$BB$4)))+0.0001*INDIRECT(ADDRESS(ROW(BB35),7)))</f>
        <v>500.00869999999998</v>
      </c>
      <c r="BL35" s="4">
        <v>1</v>
      </c>
      <c r="BM35" s="4">
        <v>1</v>
      </c>
      <c r="BN35" s="4">
        <v>0</v>
      </c>
      <c r="BO35" s="5">
        <f>IF(BN35=1,3,IF(BM35=1,2,IF(BL35=1,1,0)))</f>
        <v>2</v>
      </c>
      <c r="BQ35" s="4">
        <v>1</v>
      </c>
      <c r="BR35" s="4">
        <v>1</v>
      </c>
      <c r="BS35" s="4">
        <v>0</v>
      </c>
      <c r="BT35" s="5">
        <f>IF(BS35=1,3,IF(BR35=1,2,IF(BQ35=1,1,0)))</f>
        <v>2</v>
      </c>
      <c r="BV35" s="4">
        <v>1</v>
      </c>
      <c r="BW35" s="4">
        <v>1</v>
      </c>
      <c r="BX35" s="4">
        <v>1</v>
      </c>
      <c r="BY35" s="5">
        <f>IF(BX35=1,3,IF(BW35=1,2,IF(BV35=1,1,0)))</f>
        <v>3</v>
      </c>
      <c r="BZ35" s="5">
        <f ca="1">(CODE(A35)-64)*3+IF($AU$7="SQ",BO35,IF($AU$7="BP",BT35,BY35))</f>
        <v>12</v>
      </c>
    </row>
    <row r="36" spans="1:78" ht="12.75" customHeight="1" x14ac:dyDescent="0.25">
      <c r="A36" s="16" t="s">
        <v>18</v>
      </c>
      <c r="B36" s="17" t="s">
        <v>23</v>
      </c>
      <c r="C36" s="17" t="s">
        <v>72</v>
      </c>
      <c r="D36" s="18" t="s">
        <v>20</v>
      </c>
      <c r="E36" s="18">
        <v>218.6</v>
      </c>
      <c r="F36" s="18">
        <f ca="1">VLOOKUP(IF($F$7="WtCls (lb)",E36/2.2046,E36),[1]DATA!$D$3:$H$16,IF(LEFT(D36,1)="M",2,3)+IF(AND(I36,I36&lt;24),2,0),TRUE)</f>
        <v>220</v>
      </c>
      <c r="G36" s="18">
        <v>32</v>
      </c>
      <c r="H36" s="19" t="e">
        <f ca="1">IF(AND(VALUE(E36)&gt;0,OR(LEFT(D36,1)="M",LEFT(D36,1)="F")),IF(LEFT(D36,1)="M",Wilks_Men(IF(RIGHT($F$7,4)="(lb)",E36/2.2046,E36)),Wilks_Women(IF(RIGHT($F$7,4)="(lb)",E36/2.2046,E36))),0)</f>
        <v>#REF!</v>
      </c>
      <c r="I36" s="16">
        <v>9</v>
      </c>
      <c r="J36" s="14" t="e">
        <f>IF(I36,VLOOKUP(I36,[1]DATA!$A$2:$B$53,2,TRUE),0)</f>
        <v>#N/A</v>
      </c>
      <c r="K36" s="18">
        <v>7</v>
      </c>
      <c r="L36" s="20">
        <v>275</v>
      </c>
      <c r="M36" s="23">
        <v>-300</v>
      </c>
      <c r="N36" s="23">
        <v>-300</v>
      </c>
      <c r="O36" s="21">
        <f>IF(MAX(BL36:BN36)&gt;0,MAX(ABS(L36)*BL36,ABS(M36)*BM36,ABS(N36)*BN36),0)</f>
        <v>275</v>
      </c>
      <c r="P36" s="22"/>
      <c r="Q36" s="20">
        <v>185</v>
      </c>
      <c r="R36" s="16"/>
      <c r="S36" s="16"/>
      <c r="T36" s="21">
        <f>IF(MAX(BQ36:BS36)&gt;0,MAX(ABS(Q36)*BQ36,ABS(R36)*BR36,ABS(S36)*BS36),0)</f>
        <v>185</v>
      </c>
      <c r="U36" s="21">
        <f>IF(OR(O36=0,T36=0),0,O36+T36)</f>
        <v>460</v>
      </c>
      <c r="V36" s="20">
        <v>405</v>
      </c>
      <c r="W36" s="20">
        <v>430</v>
      </c>
      <c r="X36" s="23">
        <v>-450</v>
      </c>
      <c r="Y36" s="21">
        <f>IF(MAX(BV36:BX36)&gt;0,MAX(ABS(V36)*BV36,ABS(W36)*BW36,ABS(X36)*BX36),0)</f>
        <v>430</v>
      </c>
      <c r="Z36" s="21">
        <f>U36+Y36</f>
        <v>890</v>
      </c>
      <c r="AA36" s="9" t="e">
        <f ca="1">IF($E$3="Lb",Z36*H36/2.2046,Z36*H36)</f>
        <v>#REF!</v>
      </c>
      <c r="AB36" s="9" t="e">
        <f ca="1">IF(AND(I36&gt;23,I36&lt;40),0,AA36*J36)</f>
        <v>#REF!</v>
      </c>
      <c r="AC36" s="8" t="e">
        <f ca="1">OFFSET([1]Setup!$F$1,MATCH(D36,[1]Setup!B:B,0)-1,0)</f>
        <v>#VALUE!</v>
      </c>
      <c r="AD36" s="10" t="str">
        <f ca="1">IF(OR(Z36=0,AU36=0),"",CONCATENATE(OFFSET($AZ$7,MATCH(AW36,AX:AX,0)-7,0),"-",D36,IF(AC36&gt;1,"","-"),IF(AC36&gt;1,"",F36),"-",$AU$7))</f>
        <v/>
      </c>
      <c r="AE36" s="7"/>
      <c r="AF36" s="5" t="e">
        <f ca="1">IF(OR(VALUE(LEFT(AD36,1))&gt;5,Z36=0),0,VLOOKUP(VALUE(LEFT(AD36,1)),$CB$1:$CC$5,2))</f>
        <v>#VALUE!</v>
      </c>
      <c r="AG36" s="5" t="e">
        <f ca="1">SUMIF(INDIRECT($AH$6),C36,INDIRECT($AH$5))</f>
        <v>#REF!</v>
      </c>
      <c r="AU36" s="11">
        <f ca="1">IF(ISERROR(FIND($AU$7,AE36)),0,1)</f>
        <v>0</v>
      </c>
      <c r="AV36" s="12">
        <f ca="1">IF(OR(D36="",E36="",AU36=0),0,MATCH(D36,[1]Setup!B:B,0)*10000000+IF(AC36&gt;1,0,((1000-IF(RIGHT(F36)="+",400,F36)))*1000000-E36/10)-BZ36/10000-G36/1000000+IF(AC36=1,Z36,IF(AC36=2,AA36,AB36)))</f>
        <v>0</v>
      </c>
      <c r="AW36" s="11">
        <f ca="1">RANK(AV36,INDIRECT($AV$6))</f>
        <v>1</v>
      </c>
      <c r="AX36" s="13">
        <f>AX35+1</f>
        <v>20</v>
      </c>
      <c r="AY36" s="13" t="e">
        <f ca="1">CONCATENATE(OFFSET($D$7,MATCH(AX36,AW:AW,0)-7,0),IF(OFFSET($AC$7,MATCH(AX36,AW:AW,0)-7,0)&gt;1,0,OFFSET($F$7,MATCH(AX36,AW:AW,0)-7,0)))</f>
        <v>#REF!</v>
      </c>
      <c r="AZ36" s="13">
        <f ca="1">IF(ISERROR(AY35),1,IF(AY36=AY35,AZ35+1,1))</f>
        <v>1</v>
      </c>
      <c r="BA36" s="5" t="e">
        <f>HLOOKUP($A36,$BA$1:$BH$2,2,FALSE)</f>
        <v>#N/A</v>
      </c>
      <c r="BB36" s="4">
        <f ca="1">IF(INDIRECT(ADDRESS(ROW(BB36),$BB$4))="","",ABS(INDIRECT(ADDRESS(ROW(BB36),$BB$4)))+0.0001*INDIRECT(ADDRESS(ROW(BB36),7)))</f>
        <v>450.00319999999999</v>
      </c>
      <c r="BL36" s="4">
        <v>1</v>
      </c>
      <c r="BM36" s="4">
        <v>-1</v>
      </c>
      <c r="BN36" s="4">
        <v>-1</v>
      </c>
      <c r="BO36" s="5">
        <f>IF(BN36=1,3,IF(BM36=1,2,IF(BL36=1,1,0)))</f>
        <v>1</v>
      </c>
      <c r="BQ36" s="4">
        <v>1</v>
      </c>
      <c r="BR36" s="4">
        <v>0</v>
      </c>
      <c r="BS36" s="4">
        <v>0</v>
      </c>
      <c r="BT36" s="5">
        <f>IF(BS36=1,3,IF(BR36=1,2,IF(BQ36=1,1,0)))</f>
        <v>1</v>
      </c>
      <c r="BV36" s="4">
        <v>1</v>
      </c>
      <c r="BW36" s="4">
        <v>1</v>
      </c>
      <c r="BX36" s="4">
        <v>-1</v>
      </c>
      <c r="BY36" s="5">
        <f>IF(BX36=1,3,IF(BW36=1,2,IF(BV36=1,1,0)))</f>
        <v>2</v>
      </c>
      <c r="BZ36" s="5">
        <f ca="1">(CODE(A36)-64)*3+IF($AU$7="SQ",BO36,IF($AU$7="BP",BT36,BY36))</f>
        <v>11</v>
      </c>
    </row>
    <row r="37" spans="1:78" ht="12.75" customHeight="1" x14ac:dyDescent="0.25">
      <c r="A37" s="16"/>
      <c r="B37" s="17"/>
      <c r="C37" s="17"/>
      <c r="D37" s="18"/>
      <c r="E37" s="18"/>
      <c r="F37" s="18"/>
      <c r="G37" s="18"/>
      <c r="H37" s="19"/>
      <c r="I37" s="16"/>
      <c r="J37" s="14"/>
      <c r="K37" s="18"/>
      <c r="L37" s="20"/>
      <c r="M37" s="23"/>
      <c r="N37" s="23"/>
      <c r="O37" s="21"/>
      <c r="P37" s="22"/>
      <c r="Q37" s="20"/>
      <c r="R37" s="16"/>
      <c r="S37" s="16"/>
      <c r="T37" s="21"/>
      <c r="U37" s="21"/>
      <c r="V37" s="20"/>
      <c r="W37" s="20"/>
      <c r="X37" s="23"/>
      <c r="Y37" s="21"/>
      <c r="Z37" s="21"/>
      <c r="AA37" s="9"/>
      <c r="AB37" s="9"/>
      <c r="AC37" s="8"/>
      <c r="AD37" s="10"/>
      <c r="AE37" s="7"/>
      <c r="AF37" s="5"/>
      <c r="AG37" s="5"/>
      <c r="AU37" s="11"/>
      <c r="AV37" s="12"/>
      <c r="AW37" s="11"/>
      <c r="AX37" s="13"/>
      <c r="AY37" s="13"/>
      <c r="AZ37" s="13"/>
      <c r="BA37" s="5"/>
      <c r="BO37" s="5"/>
      <c r="BT37" s="5"/>
      <c r="BY37" s="5"/>
      <c r="BZ37" s="5"/>
    </row>
    <row r="38" spans="1:78" ht="12.75" customHeight="1" x14ac:dyDescent="0.25">
      <c r="A38" s="16" t="s">
        <v>18</v>
      </c>
      <c r="B38" s="17" t="s">
        <v>30</v>
      </c>
      <c r="C38" s="17" t="s">
        <v>75</v>
      </c>
      <c r="D38" s="18" t="s">
        <v>20</v>
      </c>
      <c r="E38" s="18">
        <v>228.6</v>
      </c>
      <c r="F38" s="18">
        <f ca="1">VLOOKUP(IF($F$7="WtCls (lb)",E38/2.2046,E38),[1]DATA!$D$3:$H$16,IF(LEFT(D38,1)="M",2,3)+IF(AND(I38,I38&lt;24),2,0),TRUE)</f>
        <v>242</v>
      </c>
      <c r="G38" s="18">
        <v>49</v>
      </c>
      <c r="H38" s="19" t="e">
        <f ca="1">IF(AND(VALUE(E38)&gt;0,OR(LEFT(D38,1)="M",LEFT(D38,1)="F")),IF(LEFT(D38,1)="M",Wilks_Men(IF(RIGHT($F$7,4)="(lb)",E38/2.2046,E38)),Wilks_Women(IF(RIGHT($F$7,4)="(lb)",E38/2.2046,E38))),0)</f>
        <v>#REF!</v>
      </c>
      <c r="I38" s="16">
        <v>12</v>
      </c>
      <c r="J38" s="14" t="e">
        <f>IF(I38,VLOOKUP(I38,[1]DATA!$A$2:$B$53,2,TRUE),0)</f>
        <v>#N/A</v>
      </c>
      <c r="K38" s="18">
        <v>7</v>
      </c>
      <c r="L38" s="20">
        <v>495</v>
      </c>
      <c r="M38" s="20">
        <v>545</v>
      </c>
      <c r="N38" s="20">
        <v>565</v>
      </c>
      <c r="O38" s="21">
        <f>IF(MAX(BL38:BN38)&gt;0,MAX(ABS(L38)*BL38,ABS(M38)*BM38,ABS(N38)*BN38),0)</f>
        <v>565</v>
      </c>
      <c r="P38" s="22"/>
      <c r="Q38" s="20">
        <v>230</v>
      </c>
      <c r="R38" s="20">
        <v>250</v>
      </c>
      <c r="S38" s="16"/>
      <c r="T38" s="21">
        <f>IF(MAX(BQ38:BS38)&gt;0,MAX(ABS(Q38)*BQ38,ABS(R38)*BR38,ABS(S38)*BS38),0)</f>
        <v>250</v>
      </c>
      <c r="U38" s="21">
        <f>IF(OR(O38=0,T38=0),0,O38+T38)</f>
        <v>815</v>
      </c>
      <c r="V38" s="20">
        <v>475</v>
      </c>
      <c r="W38" s="20">
        <v>530</v>
      </c>
      <c r="X38" s="16"/>
      <c r="Y38" s="21">
        <f>IF(MAX(BV38:BX38)&gt;0,MAX(ABS(V38)*BV38,ABS(W38)*BW38,ABS(X38)*BX38),0)</f>
        <v>530</v>
      </c>
      <c r="Z38" s="21">
        <f>U38+Y38</f>
        <v>1345</v>
      </c>
      <c r="AA38" s="9" t="e">
        <f ca="1">IF($E$3="Lb",Z38*H38/2.2046,Z38*H38)</f>
        <v>#REF!</v>
      </c>
      <c r="AB38" s="9" t="e">
        <f ca="1">IF(AND(I38&gt;23,I38&lt;40),0,AA38*J38)</f>
        <v>#REF!</v>
      </c>
      <c r="AC38" s="8" t="e">
        <f ca="1">OFFSET([1]Setup!$F$1,MATCH(D38,[1]Setup!B:B,0)-1,0)</f>
        <v>#VALUE!</v>
      </c>
      <c r="AD38" s="10" t="str">
        <f ca="1">IF(OR(Z38=0,AU38=0),"",CONCATENATE(OFFSET($AZ$7,MATCH(AW38,AX:AX,0)-7,0),"-",D38,IF(AC38&gt;1,"","-"),IF(AC38&gt;1,"",F38),"-",$AU$7))</f>
        <v/>
      </c>
      <c r="AE38" s="7"/>
      <c r="AF38" s="5" t="e">
        <f ca="1">IF(OR(VALUE(LEFT(AD38,1))&gt;5,Z38=0),0,VLOOKUP(VALUE(LEFT(AD38,1)),$CB$1:$CC$5,2))</f>
        <v>#VALUE!</v>
      </c>
      <c r="AG38" s="5" t="e">
        <f ca="1">SUMIF(INDIRECT($AH$6),C38,INDIRECT($AH$5))</f>
        <v>#REF!</v>
      </c>
      <c r="AU38" s="11">
        <f ca="1">IF(ISERROR(FIND($AU$7,AE38)),0,1)</f>
        <v>0</v>
      </c>
      <c r="AV38" s="12">
        <f ca="1">IF(OR(D38="",E38="",AU38=0),0,MATCH(D38,[1]Setup!B:B,0)*10000000+IF(AC38&gt;1,0,((1000-IF(RIGHT(F38)="+",400,F38)))*1000000-E38/10)-BZ38/10000-G38/1000000+IF(AC38=1,Z38,IF(AC38=2,AA38,AB38)))</f>
        <v>0</v>
      </c>
      <c r="AW38" s="11">
        <f ca="1">RANK(AV38,INDIRECT($AV$6))</f>
        <v>1</v>
      </c>
      <c r="AX38" s="13">
        <f>AX36+1</f>
        <v>21</v>
      </c>
      <c r="AY38" s="13" t="e">
        <f ca="1">CONCATENATE(OFFSET($D$7,MATCH(AX38,AW:AW,0)-7,0),IF(OFFSET($AC$7,MATCH(AX38,AW:AW,0)-7,0)&gt;1,0,OFFSET($F$7,MATCH(AX38,AW:AW,0)-7,0)))</f>
        <v>#REF!</v>
      </c>
      <c r="AZ38" s="13">
        <f ca="1">IF(ISERROR(AY36),1,IF(AY38=AY36,AZ36+1,1))</f>
        <v>1</v>
      </c>
      <c r="BA38" s="5" t="e">
        <f>HLOOKUP($A38,$BA$1:$BH$2,2,FALSE)</f>
        <v>#N/A</v>
      </c>
      <c r="BB38" s="4" t="str">
        <f ca="1">IF(INDIRECT(ADDRESS(ROW(BB38),$BB$4))="","",ABS(INDIRECT(ADDRESS(ROW(BB38),$BB$4)))+0.0001*INDIRECT(ADDRESS(ROW(BB38),7)))</f>
        <v/>
      </c>
      <c r="BL38" s="4">
        <v>1</v>
      </c>
      <c r="BM38" s="4">
        <v>1</v>
      </c>
      <c r="BN38" s="4">
        <v>1</v>
      </c>
      <c r="BO38" s="5">
        <f>IF(BN38=1,3,IF(BM38=1,2,IF(BL38=1,1,0)))</f>
        <v>3</v>
      </c>
      <c r="BQ38" s="4">
        <v>1</v>
      </c>
      <c r="BR38" s="4">
        <v>1</v>
      </c>
      <c r="BS38" s="4">
        <v>0</v>
      </c>
      <c r="BT38" s="5">
        <f>IF(BS38=1,3,IF(BR38=1,2,IF(BQ38=1,1,0)))</f>
        <v>2</v>
      </c>
      <c r="BV38" s="4">
        <v>1</v>
      </c>
      <c r="BW38" s="4">
        <v>1</v>
      </c>
      <c r="BX38" s="4">
        <v>0</v>
      </c>
      <c r="BY38" s="5">
        <f>IF(BX38=1,3,IF(BW38=1,2,IF(BV38=1,1,0)))</f>
        <v>2</v>
      </c>
      <c r="BZ38" s="5">
        <f ca="1">(CODE(A38)-64)*3+IF($AU$7="SQ",BO38,IF($AU$7="BP",BT38,BY38))</f>
        <v>11</v>
      </c>
    </row>
    <row r="39" spans="1:78" ht="12.75" customHeight="1" x14ac:dyDescent="0.25">
      <c r="A39" s="16" t="s">
        <v>18</v>
      </c>
      <c r="B39" s="17" t="s">
        <v>26</v>
      </c>
      <c r="C39" s="17" t="s">
        <v>74</v>
      </c>
      <c r="D39" s="18" t="s">
        <v>20</v>
      </c>
      <c r="E39" s="18">
        <v>240.8</v>
      </c>
      <c r="F39" s="18">
        <f ca="1">VLOOKUP(IF($F$7="WtCls (lb)",E39/2.2046,E39),[1]DATA!$D$3:$H$16,IF(LEFT(D39,1)="M",2,3)+IF(AND(I39,I39&lt;24),2,0),TRUE)</f>
        <v>242</v>
      </c>
      <c r="G39" s="18">
        <v>55</v>
      </c>
      <c r="H39" s="19" t="e">
        <f ca="1">IF(AND(VALUE(E39)&gt;0,OR(LEFT(D39,1)="M",LEFT(D39,1)="F")),IF(LEFT(D39,1)="M",Wilks_Men(IF(RIGHT($F$7,4)="(lb)",E39/2.2046,E39)),Wilks_Women(IF(RIGHT($F$7,4)="(lb)",E39/2.2046,E39))),0)</f>
        <v>#REF!</v>
      </c>
      <c r="I39" s="16">
        <v>10</v>
      </c>
      <c r="J39" s="14" t="e">
        <f>IF(I39,VLOOKUP(I39,[1]DATA!$A$2:$B$53,2,TRUE),0)</f>
        <v>#N/A</v>
      </c>
      <c r="K39" s="18">
        <v>7</v>
      </c>
      <c r="L39" s="20">
        <v>440</v>
      </c>
      <c r="M39" s="20">
        <v>475</v>
      </c>
      <c r="N39" s="16"/>
      <c r="O39" s="21">
        <f>IF(MAX(BL39:BN39)&gt;0,MAX(ABS(L39)*BL39,ABS(M39)*BM39,ABS(N39)*BN39),0)</f>
        <v>475</v>
      </c>
      <c r="P39" s="22"/>
      <c r="Q39" s="20">
        <v>200</v>
      </c>
      <c r="R39" s="20">
        <v>215</v>
      </c>
      <c r="S39" s="16"/>
      <c r="T39" s="21">
        <f>IF(MAX(BQ39:BS39)&gt;0,MAX(ABS(Q39)*BQ39,ABS(R39)*BR39,ABS(S39)*BS39),0)</f>
        <v>215</v>
      </c>
      <c r="U39" s="21">
        <f>IF(OR(O39=0,T39=0),0,O39+T39)</f>
        <v>690</v>
      </c>
      <c r="V39" s="20">
        <v>475</v>
      </c>
      <c r="W39" s="20">
        <v>540</v>
      </c>
      <c r="X39" s="23">
        <v>-580</v>
      </c>
      <c r="Y39" s="21">
        <f>IF(MAX(BV39:BX39)&gt;0,MAX(ABS(V39)*BV39,ABS(W39)*BW39,ABS(X39)*BX39),0)</f>
        <v>540</v>
      </c>
      <c r="Z39" s="21">
        <f>U39+Y39</f>
        <v>1230</v>
      </c>
      <c r="AA39" s="9" t="e">
        <f ca="1">IF($E$3="Lb",Z39*H39/2.2046,Z39*H39)</f>
        <v>#REF!</v>
      </c>
      <c r="AB39" s="9" t="e">
        <f ca="1">IF(AND(I39&gt;23,I39&lt;40),0,AA39*J39)</f>
        <v>#REF!</v>
      </c>
      <c r="AC39" s="8" t="e">
        <f ca="1">OFFSET([1]Setup!$F$1,MATCH(D39,[1]Setup!B:B,0)-1,0)</f>
        <v>#VALUE!</v>
      </c>
      <c r="AD39" s="10" t="str">
        <f ca="1">IF(OR(Z39=0,AU39=0),"",CONCATENATE(OFFSET($AZ$7,MATCH(AW39,AX:AX,0)-7,0),"-",D39,IF(AC39&gt;1,"","-"),IF(AC39&gt;1,"",F39),"-",$AU$7))</f>
        <v/>
      </c>
      <c r="AE39" s="7"/>
      <c r="AF39" s="5" t="e">
        <f ca="1">IF(OR(VALUE(LEFT(AD39,1))&gt;5,Z39=0),0,VLOOKUP(VALUE(LEFT(AD39,1)),$CB$1:$CC$5,2))</f>
        <v>#VALUE!</v>
      </c>
      <c r="AG39" s="5" t="e">
        <f ca="1">SUMIF(INDIRECT($AH$6),C39,INDIRECT($AH$5))</f>
        <v>#REF!</v>
      </c>
      <c r="AU39" s="11">
        <f ca="1">IF(ISERROR(FIND($AU$7,AE39)),0,1)</f>
        <v>0</v>
      </c>
      <c r="AV39" s="12">
        <f ca="1">IF(OR(D39="",E39="",AU39=0),0,MATCH(D39,[1]Setup!B:B,0)*10000000+IF(AC39&gt;1,0,((1000-IF(RIGHT(F39)="+",400,F39)))*1000000-E39/10)-BZ39/10000-G39/1000000+IF(AC39=1,Z39,IF(AC39=2,AA39,AB39)))</f>
        <v>0</v>
      </c>
      <c r="AW39" s="11">
        <f ca="1">RANK(AV39,INDIRECT($AV$6))</f>
        <v>1</v>
      </c>
      <c r="AX39" s="13">
        <f>AX38+1</f>
        <v>22</v>
      </c>
      <c r="AY39" s="13" t="e">
        <f ca="1">CONCATENATE(OFFSET($D$7,MATCH(AX39,AW:AW,0)-7,0),IF(OFFSET($AC$7,MATCH(AX39,AW:AW,0)-7,0)&gt;1,0,OFFSET($F$7,MATCH(AX39,AW:AW,0)-7,0)))</f>
        <v>#REF!</v>
      </c>
      <c r="AZ39" s="13">
        <f ca="1">IF(ISERROR(AY38),1,IF(AY39=AY38,AZ38+1,1))</f>
        <v>1</v>
      </c>
      <c r="BA39" s="5" t="e">
        <f>HLOOKUP($A39,$BA$1:$BH$2,2,FALSE)</f>
        <v>#N/A</v>
      </c>
      <c r="BB39" s="4">
        <f ca="1">IF(INDIRECT(ADDRESS(ROW(BB39),$BB$4))="","",ABS(INDIRECT(ADDRESS(ROW(BB39),$BB$4)))+0.0001*INDIRECT(ADDRESS(ROW(BB39),7)))</f>
        <v>580.00549999999998</v>
      </c>
      <c r="BL39" s="4">
        <v>1</v>
      </c>
      <c r="BM39" s="4">
        <v>1</v>
      </c>
      <c r="BN39" s="4">
        <v>0</v>
      </c>
      <c r="BO39" s="5">
        <f>IF(BN39=1,3,IF(BM39=1,2,IF(BL39=1,1,0)))</f>
        <v>2</v>
      </c>
      <c r="BQ39" s="4">
        <v>1</v>
      </c>
      <c r="BR39" s="4">
        <v>1</v>
      </c>
      <c r="BS39" s="4">
        <v>0</v>
      </c>
      <c r="BT39" s="5">
        <f>IF(BS39=1,3,IF(BR39=1,2,IF(BQ39=1,1,0)))</f>
        <v>2</v>
      </c>
      <c r="BV39" s="4">
        <v>1</v>
      </c>
      <c r="BW39" s="4">
        <v>1</v>
      </c>
      <c r="BX39" s="4">
        <v>-1</v>
      </c>
      <c r="BY39" s="5">
        <f>IF(BX39=1,3,IF(BW39=1,2,IF(BV39=1,1,0)))</f>
        <v>2</v>
      </c>
      <c r="BZ39" s="5">
        <f ca="1">(CODE(A39)-64)*3+IF($AU$7="SQ",BO39,IF($AU$7="BP",BT39,BY39))</f>
        <v>11</v>
      </c>
    </row>
    <row r="40" spans="1:78" ht="12.75" customHeight="1" x14ac:dyDescent="0.25">
      <c r="A40" s="16" t="s">
        <v>18</v>
      </c>
      <c r="B40" s="17" t="s">
        <v>29</v>
      </c>
      <c r="C40" s="17" t="s">
        <v>74</v>
      </c>
      <c r="D40" s="18" t="s">
        <v>20</v>
      </c>
      <c r="E40" s="18">
        <v>232.6</v>
      </c>
      <c r="F40" s="18">
        <f ca="1">VLOOKUP(IF($F$7="WtCls (lb)",E40/2.2046,E40),[1]DATA!$D$3:$H$16,IF(LEFT(D40,1)="M",2,3)+IF(AND(I40,I40&lt;24),2,0),TRUE)</f>
        <v>242</v>
      </c>
      <c r="G40" s="18">
        <v>52</v>
      </c>
      <c r="H40" s="19" t="e">
        <f ca="1">IF(AND(VALUE(E40)&gt;0,OR(LEFT(D40,1)="M",LEFT(D40,1)="F")),IF(LEFT(D40,1)="M",Wilks_Men(IF(RIGHT($F$7,4)="(lb)",E40/2.2046,E40)),Wilks_Women(IF(RIGHT($F$7,4)="(lb)",E40/2.2046,E40))),0)</f>
        <v>#REF!</v>
      </c>
      <c r="I40" s="16">
        <v>11</v>
      </c>
      <c r="J40" s="14" t="e">
        <f>IF(I40,VLOOKUP(I40,[1]DATA!$A$2:$B$53,2,TRUE),0)</f>
        <v>#N/A</v>
      </c>
      <c r="K40" s="18">
        <v>7</v>
      </c>
      <c r="L40" s="20">
        <v>425</v>
      </c>
      <c r="M40" s="23">
        <v>-500</v>
      </c>
      <c r="N40" s="20">
        <v>500</v>
      </c>
      <c r="O40" s="21">
        <f>IF(MAX(BL40:BN40)&gt;0,MAX(ABS(L40)*BL40,ABS(M40)*BM40,ABS(N40)*BN40),0)</f>
        <v>500</v>
      </c>
      <c r="P40" s="22"/>
      <c r="Q40" s="23">
        <v>-230</v>
      </c>
      <c r="R40" s="20">
        <v>230</v>
      </c>
      <c r="S40" s="16"/>
      <c r="T40" s="21">
        <f>IF(MAX(BQ40:BS40)&gt;0,MAX(ABS(Q40)*BQ40,ABS(R40)*BR40,ABS(S40)*BS40),0)</f>
        <v>230</v>
      </c>
      <c r="U40" s="21">
        <f>IF(OR(O40=0,T40=0),0,O40+T40)</f>
        <v>730</v>
      </c>
      <c r="V40" s="20">
        <v>440</v>
      </c>
      <c r="W40" s="20">
        <v>485</v>
      </c>
      <c r="X40" s="16"/>
      <c r="Y40" s="21">
        <f>IF(MAX(BV40:BX40)&gt;0,MAX(ABS(V40)*BV40,ABS(W40)*BW40,ABS(X40)*BX40),0)</f>
        <v>485</v>
      </c>
      <c r="Z40" s="21">
        <f>U40+Y40</f>
        <v>1215</v>
      </c>
      <c r="AA40" s="9" t="e">
        <f ca="1">IF($E$3="Lb",Z40*H40/2.2046,Z40*H40)</f>
        <v>#REF!</v>
      </c>
      <c r="AB40" s="9" t="e">
        <f ca="1">IF(AND(I40&gt;23,I40&lt;40),0,AA40*J40)</f>
        <v>#REF!</v>
      </c>
      <c r="AC40" s="8" t="e">
        <f ca="1">OFFSET([1]Setup!$F$1,MATCH(D40,[1]Setup!B:B,0)-1,0)</f>
        <v>#VALUE!</v>
      </c>
      <c r="AD40" s="10" t="str">
        <f ca="1">IF(OR(Z40=0,AU40=0),"",CONCATENATE(OFFSET($AZ$7,MATCH(AW40,AX:AX,0)-7,0),"-",D40,IF(AC40&gt;1,"","-"),IF(AC40&gt;1,"",F40),"-",$AU$7))</f>
        <v/>
      </c>
      <c r="AE40" s="7"/>
      <c r="AF40" s="5" t="e">
        <f ca="1">IF(OR(VALUE(LEFT(AD40,1))&gt;5,Z40=0),0,VLOOKUP(VALUE(LEFT(AD40,1)),$CB$1:$CC$5,2))</f>
        <v>#VALUE!</v>
      </c>
      <c r="AG40" s="5" t="e">
        <f ca="1">SUMIF(INDIRECT($AH$6),C40,INDIRECT($AH$5))</f>
        <v>#REF!</v>
      </c>
      <c r="AU40" s="11">
        <f ca="1">IF(ISERROR(FIND($AU$7,AE40)),0,1)</f>
        <v>0</v>
      </c>
      <c r="AV40" s="12">
        <f ca="1">IF(OR(D40="",E40="",AU40=0),0,MATCH(D40,[1]Setup!B:B,0)*10000000+IF(AC40&gt;1,0,((1000-IF(RIGHT(F40)="+",400,F40)))*1000000-E40/10)-BZ40/10000-G40/1000000+IF(AC40=1,Z40,IF(AC40=2,AA40,AB40)))</f>
        <v>0</v>
      </c>
      <c r="AW40" s="11">
        <f ca="1">RANK(AV40,INDIRECT($AV$6))</f>
        <v>1</v>
      </c>
      <c r="AX40" s="13">
        <f>AX39+1</f>
        <v>23</v>
      </c>
      <c r="AY40" s="13" t="e">
        <f ca="1">CONCATENATE(OFFSET($D$7,MATCH(AX40,AW:AW,0)-7,0),IF(OFFSET($AC$7,MATCH(AX40,AW:AW,0)-7,0)&gt;1,0,OFFSET($F$7,MATCH(AX40,AW:AW,0)-7,0)))</f>
        <v>#REF!</v>
      </c>
      <c r="AZ40" s="13">
        <f ca="1">IF(ISERROR(AY39),1,IF(AY40=AY39,AZ39+1,1))</f>
        <v>1</v>
      </c>
      <c r="BA40" s="5" t="e">
        <f>HLOOKUP($A40,$BA$1:$BH$2,2,FALSE)</f>
        <v>#N/A</v>
      </c>
      <c r="BB40" s="4" t="str">
        <f ca="1">IF(INDIRECT(ADDRESS(ROW(BB40),$BB$4))="","",ABS(INDIRECT(ADDRESS(ROW(BB40),$BB$4)))+0.0001*INDIRECT(ADDRESS(ROW(BB40),7)))</f>
        <v/>
      </c>
      <c r="BL40" s="4">
        <v>1</v>
      </c>
      <c r="BM40" s="4">
        <v>-1</v>
      </c>
      <c r="BN40" s="4">
        <v>1</v>
      </c>
      <c r="BO40" s="5">
        <f>IF(BN40=1,3,IF(BM40=1,2,IF(BL40=1,1,0)))</f>
        <v>3</v>
      </c>
      <c r="BQ40" s="4">
        <v>-1</v>
      </c>
      <c r="BR40" s="4">
        <v>1</v>
      </c>
      <c r="BS40" s="4">
        <v>0</v>
      </c>
      <c r="BT40" s="5">
        <f>IF(BS40=1,3,IF(BR40=1,2,IF(BQ40=1,1,0)))</f>
        <v>2</v>
      </c>
      <c r="BV40" s="4">
        <v>1</v>
      </c>
      <c r="BW40" s="4">
        <v>1</v>
      </c>
      <c r="BX40" s="4">
        <v>0</v>
      </c>
      <c r="BY40" s="5">
        <f>IF(BX40=1,3,IF(BW40=1,2,IF(BV40=1,1,0)))</f>
        <v>2</v>
      </c>
      <c r="BZ40" s="5">
        <f ca="1">(CODE(A40)-64)*3+IF($AU$7="SQ",BO40,IF($AU$7="BP",BT40,BY40))</f>
        <v>11</v>
      </c>
    </row>
    <row r="41" spans="1:78" ht="12.75" customHeight="1" x14ac:dyDescent="0.25">
      <c r="A41" s="16" t="s">
        <v>18</v>
      </c>
      <c r="B41" s="17" t="s">
        <v>19</v>
      </c>
      <c r="C41" s="17" t="s">
        <v>76</v>
      </c>
      <c r="D41" s="18" t="s">
        <v>20</v>
      </c>
      <c r="E41" s="18">
        <v>240.2</v>
      </c>
      <c r="F41" s="18">
        <f ca="1">VLOOKUP(IF($F$7="WtCls (lb)",E41/2.2046,E41),[1]DATA!$D$3:$H$16,IF(LEFT(D41,1)="M",2,3)+IF(AND(I41,I41&lt;24),2,0),TRUE)</f>
        <v>242</v>
      </c>
      <c r="G41" s="18">
        <v>33</v>
      </c>
      <c r="H41" s="19" t="e">
        <f ca="1">IF(AND(VALUE(E41)&gt;0,OR(LEFT(D41,1)="M",LEFT(D41,1)="F")),IF(LEFT(D41,1)="M",Wilks_Men(IF(RIGHT($F$7,4)="(lb)",E41/2.2046,E41)),Wilks_Women(IF(RIGHT($F$7,4)="(lb)",E41/2.2046,E41))),0)</f>
        <v>#REF!</v>
      </c>
      <c r="I41" s="16">
        <v>10</v>
      </c>
      <c r="J41" s="14" t="e">
        <f>IF(I41,VLOOKUP(I41,[1]DATA!$A$2:$B$53,2,TRUE),0)</f>
        <v>#N/A</v>
      </c>
      <c r="K41" s="18">
        <v>9</v>
      </c>
      <c r="L41" s="20">
        <v>355</v>
      </c>
      <c r="M41" s="23">
        <v>-380</v>
      </c>
      <c r="N41" s="20">
        <v>380</v>
      </c>
      <c r="O41" s="21">
        <f>IF(MAX(BL41:BN41)&gt;0,MAX(ABS(L41)*BL41,ABS(M41)*BM41,ABS(N41)*BN41),0)</f>
        <v>380</v>
      </c>
      <c r="P41" s="22"/>
      <c r="Q41" s="20">
        <v>185</v>
      </c>
      <c r="R41" s="16"/>
      <c r="S41" s="16"/>
      <c r="T41" s="21">
        <f>IF(MAX(BQ41:BS41)&gt;0,MAX(ABS(Q41)*BQ41,ABS(R41)*BR41,ABS(S41)*BS41),0)</f>
        <v>185</v>
      </c>
      <c r="U41" s="21">
        <f>IF(OR(O41=0,T41=0),0,O41+T41)</f>
        <v>565</v>
      </c>
      <c r="V41" s="20">
        <v>350</v>
      </c>
      <c r="W41" s="20">
        <v>385</v>
      </c>
      <c r="X41" s="20">
        <v>395</v>
      </c>
      <c r="Y41" s="21">
        <f>IF(MAX(BV41:BX41)&gt;0,MAX(ABS(V41)*BV41,ABS(W41)*BW41,ABS(X41)*BX41),0)</f>
        <v>395</v>
      </c>
      <c r="Z41" s="21">
        <f>U41+Y41</f>
        <v>960</v>
      </c>
      <c r="AA41" s="9" t="e">
        <f ca="1">IF($E$3="Lb",Z41*H41/2.2046,Z41*H41)</f>
        <v>#REF!</v>
      </c>
      <c r="AB41" s="9" t="e">
        <f ca="1">IF(AND(I41&gt;23,I41&lt;40),0,AA41*J41)</f>
        <v>#REF!</v>
      </c>
      <c r="AC41" s="8" t="e">
        <f ca="1">OFFSET([1]Setup!$F$1,MATCH(D41,[1]Setup!B:B,0)-1,0)</f>
        <v>#VALUE!</v>
      </c>
      <c r="AD41" s="10" t="str">
        <f ca="1">IF(OR(Z41=0,AU41=0),"",CONCATENATE(OFFSET($AZ$7,MATCH(AW41,AX:AX,0)-7,0),"-",D41,IF(AC41&gt;1,"","-"),IF(AC41&gt;1,"",F41),"-",$AU$7))</f>
        <v/>
      </c>
      <c r="AE41" s="7"/>
      <c r="AF41" s="5" t="e">
        <f ca="1">IF(OR(VALUE(LEFT(AD41,1))&gt;5,Z41=0),0,VLOOKUP(VALUE(LEFT(AD41,1)),$CB$1:$CC$5,2))</f>
        <v>#VALUE!</v>
      </c>
      <c r="AG41" s="5" t="e">
        <f ca="1">SUMIF(INDIRECT($AH$6),C41,INDIRECT($AH$5))</f>
        <v>#REF!</v>
      </c>
      <c r="AU41" s="11">
        <f ca="1">IF(ISERROR(FIND($AU$7,AE41)),0,1)</f>
        <v>0</v>
      </c>
      <c r="AV41" s="12">
        <f ca="1">IF(OR(D41="",E41="",AU41=0),0,MATCH(D41,[1]Setup!B:B,0)*10000000+IF(AC41&gt;1,0,((1000-IF(RIGHT(F41)="+",400,F41)))*1000000-E41/10)-BZ41/10000-G41/1000000+IF(AC41=1,Z41,IF(AC41=2,AA41,AB41)))</f>
        <v>0</v>
      </c>
      <c r="AW41" s="11">
        <f ca="1">RANK(AV41,INDIRECT($AV$6))</f>
        <v>1</v>
      </c>
      <c r="AX41" s="13" t="e">
        <f>#REF!+1</f>
        <v>#REF!</v>
      </c>
      <c r="AY41" s="13" t="e">
        <f ca="1">CONCATENATE(OFFSET($D$7,MATCH(AX41,AW:AW,0)-7,0),IF(OFFSET($AC$7,MATCH(AX41,AW:AW,0)-7,0)&gt;1,0,OFFSET($F$7,MATCH(AX41,AW:AW,0)-7,0)))</f>
        <v>#REF!</v>
      </c>
      <c r="AZ41" s="13">
        <f>IF(ISERROR(#REF!),1,IF(AY41=#REF!,#REF!+1,1))</f>
        <v>1</v>
      </c>
      <c r="BA41" s="5" t="e">
        <f>HLOOKUP($A41,$BA$1:$BH$2,2,FALSE)</f>
        <v>#N/A</v>
      </c>
      <c r="BB41" s="4">
        <f ca="1">IF(INDIRECT(ADDRESS(ROW(BB41),$BB$4))="","",ABS(INDIRECT(ADDRESS(ROW(BB41),$BB$4)))+0.0001*INDIRECT(ADDRESS(ROW(BB41),7)))</f>
        <v>395.00330000000002</v>
      </c>
      <c r="BL41" s="4">
        <v>1</v>
      </c>
      <c r="BM41" s="4">
        <v>-1</v>
      </c>
      <c r="BN41" s="4">
        <v>1</v>
      </c>
      <c r="BO41" s="5">
        <f>IF(BN41=1,3,IF(BM41=1,2,IF(BL41=1,1,0)))</f>
        <v>3</v>
      </c>
      <c r="BQ41" s="4">
        <v>1</v>
      </c>
      <c r="BR41" s="4">
        <v>0</v>
      </c>
      <c r="BS41" s="4">
        <v>0</v>
      </c>
      <c r="BT41" s="5">
        <f>IF(BS41=1,3,IF(BR41=1,2,IF(BQ41=1,1,0)))</f>
        <v>1</v>
      </c>
      <c r="BV41" s="4">
        <v>1</v>
      </c>
      <c r="BW41" s="4">
        <v>1</v>
      </c>
      <c r="BX41" s="4">
        <v>1</v>
      </c>
      <c r="BY41" s="5">
        <f>IF(BX41=1,3,IF(BW41=1,2,IF(BV41=1,1,0)))</f>
        <v>3</v>
      </c>
      <c r="BZ41" s="5">
        <f ca="1">(CODE(A41)-64)*3+IF($AU$7="SQ",BO41,IF($AU$7="BP",BT41,BY41))</f>
        <v>12</v>
      </c>
    </row>
    <row r="42" spans="1:78" ht="12.75" customHeight="1" x14ac:dyDescent="0.25">
      <c r="A42" s="16" t="s">
        <v>18</v>
      </c>
      <c r="B42" s="17" t="s">
        <v>28</v>
      </c>
      <c r="C42" s="17" t="s">
        <v>73</v>
      </c>
      <c r="D42" s="18" t="s">
        <v>20</v>
      </c>
      <c r="E42" s="18">
        <v>223</v>
      </c>
      <c r="F42" s="18">
        <f ca="1">VLOOKUP(IF($F$7="WtCls (lb)",E42/2.2046,E42),[1]DATA!$D$3:$H$16,IF(LEFT(D42,1)="M",2,3)+IF(AND(I42,I42&lt;24),2,0),TRUE)</f>
        <v>242</v>
      </c>
      <c r="G42" s="18">
        <v>111</v>
      </c>
      <c r="H42" s="19" t="e">
        <f ca="1">IF(AND(VALUE(E42)&gt;0,OR(LEFT(D42,1)="M",LEFT(D42,1)="F")),IF(LEFT(D42,1)="M",Wilks_Men(IF(RIGHT($F$7,4)="(lb)",E42/2.2046,E42)),Wilks_Women(IF(RIGHT($F$7,4)="(lb)",E42/2.2046,E42))),0)</f>
        <v>#REF!</v>
      </c>
      <c r="I42" s="16">
        <v>10</v>
      </c>
      <c r="J42" s="14" t="e">
        <f>IF(I42,VLOOKUP(I42,[1]DATA!$A$2:$B$53,2,TRUE),0)</f>
        <v>#N/A</v>
      </c>
      <c r="K42" s="18">
        <v>7</v>
      </c>
      <c r="L42" s="20">
        <v>330</v>
      </c>
      <c r="M42" s="20">
        <v>355</v>
      </c>
      <c r="N42" s="20">
        <v>375</v>
      </c>
      <c r="O42" s="21">
        <f>IF(MAX(BL42:BN42)&gt;0,MAX(ABS(L42)*BL42,ABS(M42)*BM42,ABS(N42)*BN42),0)</f>
        <v>375</v>
      </c>
      <c r="P42" s="22"/>
      <c r="Q42" s="23">
        <v>-155</v>
      </c>
      <c r="R42" s="20">
        <v>155</v>
      </c>
      <c r="S42" s="16"/>
      <c r="T42" s="21">
        <f>IF(MAX(BQ42:BS42)&gt;0,MAX(ABS(Q42)*BQ42,ABS(R42)*BR42,ABS(S42)*BS42),0)</f>
        <v>155</v>
      </c>
      <c r="U42" s="21">
        <f>IF(OR(O42=0,T42=0),0,O42+T42)</f>
        <v>530</v>
      </c>
      <c r="V42" s="20">
        <v>330</v>
      </c>
      <c r="W42" s="20">
        <v>370</v>
      </c>
      <c r="X42" s="20"/>
      <c r="Y42" s="21">
        <f>IF(MAX(BV42:BX42)&gt;0,MAX(ABS(V42)*BV42,ABS(W42)*BW42,ABS(X42)*BX42),0)</f>
        <v>370</v>
      </c>
      <c r="Z42" s="21">
        <f>U42+Y42</f>
        <v>900</v>
      </c>
      <c r="AA42" s="9" t="e">
        <f ca="1">IF($E$3="Lb",Z42*H42/2.2046,Z42*H42)</f>
        <v>#REF!</v>
      </c>
      <c r="AB42" s="9" t="e">
        <f ca="1">IF(AND(I42&gt;23,I42&lt;40),0,AA42*J42)</f>
        <v>#REF!</v>
      </c>
      <c r="AC42" s="8" t="e">
        <f ca="1">OFFSET([1]Setup!$F$1,MATCH(D42,[1]Setup!B:B,0)-1,0)</f>
        <v>#VALUE!</v>
      </c>
      <c r="AD42" s="10" t="str">
        <f ca="1">IF(OR(Z42=0,AU42=0),"",CONCATENATE(OFFSET($AZ$7,MATCH(AW42,AX:AX,0)-7,0),"-",D42,IF(AC42&gt;1,"","-"),IF(AC42&gt;1,"",F42),"-",$AU$7))</f>
        <v/>
      </c>
      <c r="AE42" s="7"/>
      <c r="AF42" s="5" t="e">
        <f ca="1">IF(OR(VALUE(LEFT(AD42,1))&gt;5,Z42=0),0,VLOOKUP(VALUE(LEFT(AD42,1)),$CB$1:$CC$5,2))</f>
        <v>#VALUE!</v>
      </c>
      <c r="AG42" s="5" t="e">
        <f ca="1">SUMIF(INDIRECT($AH$6),C42,INDIRECT($AH$5))</f>
        <v>#REF!</v>
      </c>
      <c r="AU42" s="11">
        <f ca="1">IF(ISERROR(FIND($AU$7,AE42)),0,1)</f>
        <v>0</v>
      </c>
      <c r="AV42" s="12">
        <f ca="1">IF(OR(D42="",E42="",AU42=0),0,MATCH(D42,[1]Setup!B:B,0)*10000000+IF(AC42&gt;1,0,((1000-IF(RIGHT(F42)="+",400,F42)))*1000000-E42/10)-BZ42/10000-G42/1000000+IF(AC42=1,Z42,IF(AC42=2,AA42,AB42)))</f>
        <v>0</v>
      </c>
      <c r="AW42" s="11">
        <f ca="1">RANK(AV42,INDIRECT($AV$6))</f>
        <v>1</v>
      </c>
      <c r="AX42" s="13" t="e">
        <f>AX41+1</f>
        <v>#REF!</v>
      </c>
      <c r="AY42" s="13" t="e">
        <f ca="1">CONCATENATE(OFFSET($D$7,MATCH(AX42,AW:AW,0)-7,0),IF(OFFSET($AC$7,MATCH(AX42,AW:AW,0)-7,0)&gt;1,0,OFFSET($F$7,MATCH(AX42,AW:AW,0)-7,0)))</f>
        <v>#REF!</v>
      </c>
      <c r="AZ42" s="13">
        <f ca="1">IF(ISERROR(AY41),1,IF(AY42=AY41,AZ41+1,1))</f>
        <v>1</v>
      </c>
      <c r="BA42" s="5" t="e">
        <f>HLOOKUP($A42,$BA$1:$BH$2,2,FALSE)</f>
        <v>#N/A</v>
      </c>
      <c r="BB42" s="4" t="str">
        <f ca="1">IF(INDIRECT(ADDRESS(ROW(BB42),$BB$4))="","",ABS(INDIRECT(ADDRESS(ROW(BB42),$BB$4)))+0.0001*INDIRECT(ADDRESS(ROW(BB42),7)))</f>
        <v/>
      </c>
      <c r="BL42" s="4">
        <v>1</v>
      </c>
      <c r="BM42" s="4">
        <v>1</v>
      </c>
      <c r="BN42" s="4">
        <v>1</v>
      </c>
      <c r="BO42" s="5">
        <f>IF(BN42=1,3,IF(BM42=1,2,IF(BL42=1,1,0)))</f>
        <v>3</v>
      </c>
      <c r="BQ42" s="4">
        <v>-1</v>
      </c>
      <c r="BR42" s="4">
        <v>1</v>
      </c>
      <c r="BS42" s="4">
        <v>0</v>
      </c>
      <c r="BT42" s="5">
        <f>IF(BS42=1,3,IF(BR42=1,2,IF(BQ42=1,1,0)))</f>
        <v>2</v>
      </c>
      <c r="BV42" s="4">
        <v>1</v>
      </c>
      <c r="BW42" s="4">
        <v>1</v>
      </c>
      <c r="BX42" s="4">
        <v>0</v>
      </c>
      <c r="BY42" s="5">
        <f>IF(BX42=1,3,IF(BW42=1,2,IF(BV42=1,1,0)))</f>
        <v>2</v>
      </c>
      <c r="BZ42" s="5">
        <f ca="1">(CODE(A42)-64)*3+IF($AU$7="SQ",BO42,IF($AU$7="BP",BT42,BY42))</f>
        <v>11</v>
      </c>
    </row>
    <row r="43" spans="1:78" ht="12.75" customHeight="1" x14ac:dyDescent="0.25">
      <c r="A43" s="16"/>
      <c r="B43" s="17"/>
      <c r="C43" s="17"/>
      <c r="D43" s="18"/>
      <c r="E43" s="18"/>
      <c r="F43" s="18"/>
      <c r="G43" s="18"/>
      <c r="H43" s="19"/>
      <c r="I43" s="16"/>
      <c r="J43" s="14"/>
      <c r="K43" s="18"/>
      <c r="L43" s="20"/>
      <c r="M43" s="20"/>
      <c r="N43" s="20"/>
      <c r="O43" s="21"/>
      <c r="P43" s="22"/>
      <c r="Q43" s="23"/>
      <c r="R43" s="20"/>
      <c r="S43" s="16"/>
      <c r="T43" s="21"/>
      <c r="U43" s="21"/>
      <c r="V43" s="20"/>
      <c r="W43" s="20"/>
      <c r="X43" s="20"/>
      <c r="Y43" s="21"/>
      <c r="Z43" s="21"/>
      <c r="AA43" s="9"/>
      <c r="AB43" s="9"/>
      <c r="AC43" s="8"/>
      <c r="AD43" s="10"/>
      <c r="AE43" s="7"/>
      <c r="AF43" s="5"/>
      <c r="AG43" s="5"/>
      <c r="AU43" s="11"/>
      <c r="AV43" s="12"/>
      <c r="AW43" s="11"/>
      <c r="AX43" s="13"/>
      <c r="AY43" s="13"/>
      <c r="AZ43" s="13"/>
      <c r="BA43" s="5"/>
      <c r="BO43" s="5"/>
      <c r="BT43" s="5"/>
      <c r="BY43" s="5"/>
      <c r="BZ43" s="5"/>
    </row>
    <row r="44" spans="1:78" ht="12.75" customHeight="1" x14ac:dyDescent="0.25">
      <c r="A44" s="16" t="s">
        <v>32</v>
      </c>
      <c r="B44" s="17" t="s">
        <v>43</v>
      </c>
      <c r="C44" s="17" t="s">
        <v>75</v>
      </c>
      <c r="D44" s="18" t="s">
        <v>20</v>
      </c>
      <c r="E44" s="18">
        <v>270</v>
      </c>
      <c r="F44" s="18">
        <f ca="1">VLOOKUP(IF($F$7="WtCls (lb)",E44/2.2046,E44),[2]DATA!$D$3:$H$16,IF(LEFT(D44,1)="M",2,3)+IF(AND(I44,I44&lt;24),2,0),TRUE)</f>
        <v>275</v>
      </c>
      <c r="G44" s="18">
        <v>56</v>
      </c>
      <c r="H44" s="19" t="e">
        <f ca="1">IF(AND(VALUE(E44)&gt;0,OR(LEFT(D44,1)="M",LEFT(D44,1)="F")),IF(LEFT(D44,1)="M",Wilks_Men(IF(RIGHT($F$7,4)="(lb)",E44/2.2046,E44)),Wilks_Women(IF(RIGHT($F$7,4)="(lb)",E44/2.2046,E44))),0)</f>
        <v>#REF!</v>
      </c>
      <c r="I44" s="16">
        <v>11</v>
      </c>
      <c r="J44" s="14" t="e">
        <f>IF(I44,VLOOKUP(I44,[2]DATA!$A$2:$B$53,2,TRUE),0)</f>
        <v>#N/A</v>
      </c>
      <c r="K44" s="18">
        <v>6</v>
      </c>
      <c r="L44" s="20">
        <v>525</v>
      </c>
      <c r="M44" s="20">
        <v>585</v>
      </c>
      <c r="N44" s="20">
        <v>650</v>
      </c>
      <c r="O44" s="21">
        <f t="shared" ref="O44:O49" si="1">IF(MAX(BL44:BN44)&gt;0,MAX(ABS(L44)*BL44,ABS(M44)*BM44,ABS(N44)*BN44),0)</f>
        <v>650</v>
      </c>
      <c r="P44" s="22"/>
      <c r="Q44" s="20">
        <v>275</v>
      </c>
      <c r="R44" s="20">
        <v>305</v>
      </c>
      <c r="S44" s="16"/>
      <c r="T44" s="21">
        <f t="shared" ref="T44:T49" si="2">IF(MAX(BQ44:BS44)&gt;0,MAX(ABS(Q44)*BQ44,ABS(R44)*BR44,ABS(S44)*BS44),0)</f>
        <v>305</v>
      </c>
      <c r="U44" s="21">
        <f t="shared" ref="U44:U49" si="3">IF(OR(O44=0,T44=0),0,O44+T44)</f>
        <v>955</v>
      </c>
      <c r="V44" s="23">
        <v>-500</v>
      </c>
      <c r="W44" s="20">
        <v>500</v>
      </c>
      <c r="X44" s="16"/>
      <c r="Y44" s="21">
        <f t="shared" ref="Y44:Y49" si="4">IF(MAX(BV44:BX44)&gt;0,MAX(ABS(V44)*BV44,ABS(W44)*BW44,ABS(X44)*BX44),0)</f>
        <v>500</v>
      </c>
      <c r="Z44" s="21">
        <f t="shared" ref="Z44:Z49" ca="1" si="5">AU44*IF($AU$7="SQ",O44,IF($AU$7="BP",T44,IF($AU$7="DL",Y44,IF($AU$7="PP",IF(OR(T44=0,Y44=0),0,T44+Y44),IF(OR($U44=0,$Y44=0),0,$O44+$T44+$Y44)))))</f>
        <v>0</v>
      </c>
      <c r="AA44" s="9">
        <f t="shared" ref="AA44:AA49" ca="1" si="6">IF($E$3="Lb",Z44*H44/2.2046,Z44*H44)</f>
        <v>0</v>
      </c>
      <c r="AB44" s="9" t="e">
        <f t="shared" ref="AB44:AB49" ca="1" si="7">IF(AND(I44&gt;23,I44&lt;40),0,AA44*J44)</f>
        <v>#N/A</v>
      </c>
      <c r="AC44" s="8" t="e">
        <f ca="1">OFFSET([2]Setup!$F$1,MATCH(D44,[2]Setup!B:B,0)-1,0)</f>
        <v>#VALUE!</v>
      </c>
      <c r="AD44" s="10" t="str">
        <f ca="1">IF(OR(Z44=0,AU44=0),"",CONCATENATE(OFFSET($AZ$7,MATCH(AW44,AX:AX,0)-7,0),"-",D44,IF(AC44&gt;1,"","-"),IF(AC44&gt;1,"",F44),"-",$AU$7))</f>
        <v/>
      </c>
      <c r="AE44" s="7"/>
      <c r="AF44" s="5" t="e">
        <f t="shared" ref="AF44:AF49" ca="1" si="8">IF(OR(VALUE(LEFT(AD44,1))&gt;5,Z44=0),0,VLOOKUP(VALUE(LEFT(AD44,1)),$CB$1:$CC$5,2))</f>
        <v>#VALUE!</v>
      </c>
      <c r="AG44" s="5" t="e">
        <f ca="1">SUMIF(INDIRECT($AH$6),C44,INDIRECT($AH$5))</f>
        <v>#REF!</v>
      </c>
      <c r="AU44" s="11">
        <f t="shared" ref="AU44:AU49" ca="1" si="9">IF(ISERROR(FIND($AU$7,AE44)),0,1)</f>
        <v>0</v>
      </c>
      <c r="AV44" s="12">
        <f ca="1">IF(OR(D44="",E44="",AU44=0),0,MATCH(D44,[2]Setup!B:B,0)*10000000+IF(AC44&gt;1,0,((1000-IF(RIGHT(F44)="+",400,F44)))*1000000-E44/10)-BZ44/10000-G44/1000000+IF(AC44=1,Z44,IF(AC44=2,AA44,AB44)))</f>
        <v>0</v>
      </c>
      <c r="AW44" s="11">
        <f t="shared" ref="AW44:AW49" ca="1" si="10">RANK(AV44,INDIRECT($AV$6))</f>
        <v>1</v>
      </c>
      <c r="AX44" s="13" t="e">
        <f>AX42+1</f>
        <v>#REF!</v>
      </c>
      <c r="AY44" s="13" t="e">
        <f ca="1">CONCATENATE(OFFSET($D$7,MATCH(AX44,AW:AW,0)-7,0),IF(OFFSET($AC$7,MATCH(AX44,AW:AW,0)-7,0)&gt;1,0,OFFSET($F$7,MATCH(AX44,AW:AW,0)-7,0)))</f>
        <v>#REF!</v>
      </c>
      <c r="AZ44" s="13">
        <f ca="1">IF(ISERROR(AY42),1,IF(AY44=AY42,AZ42+1,1))</f>
        <v>1</v>
      </c>
      <c r="BA44" s="5" t="e">
        <f>HLOOKUP($A44,$BA$1:$BH$2,2,FALSE)</f>
        <v>#N/A</v>
      </c>
      <c r="BB44" s="4" t="str">
        <f t="shared" ref="BB44:BB49" ca="1" si="11">IF(INDIRECT(ADDRESS(ROW(BB44),$BB$4))="","",ABS(INDIRECT(ADDRESS(ROW(BB44),$BB$4)))+0.0001*INDIRECT(ADDRESS(ROW(BB44),7)))</f>
        <v/>
      </c>
      <c r="BL44" s="4">
        <v>1</v>
      </c>
      <c r="BM44" s="4">
        <v>1</v>
      </c>
      <c r="BN44" s="4">
        <v>1</v>
      </c>
      <c r="BO44" s="5">
        <f t="shared" ref="BO44:BO49" si="12">IF(BN44=1,3,IF(BM44=1,2,IF(BL44=1,1,0)))</f>
        <v>3</v>
      </c>
      <c r="BQ44" s="4">
        <v>1</v>
      </c>
      <c r="BR44" s="4">
        <v>1</v>
      </c>
      <c r="BS44" s="4">
        <v>0</v>
      </c>
      <c r="BT44" s="5">
        <f t="shared" ref="BT44:BT49" si="13">IF(BS44=1,3,IF(BR44=1,2,IF(BQ44=1,1,0)))</f>
        <v>2</v>
      </c>
      <c r="BV44" s="4">
        <v>-1</v>
      </c>
      <c r="BW44" s="4">
        <v>1</v>
      </c>
      <c r="BX44" s="4">
        <v>0</v>
      </c>
      <c r="BY44" s="5">
        <f t="shared" ref="BY44:BY49" si="14">IF(BX44=1,3,IF(BW44=1,2,IF(BV44=1,1,0)))</f>
        <v>2</v>
      </c>
      <c r="BZ44" s="5">
        <f ca="1">(CODE(A44)-64)*3+IF($AU$7="SQ",BO44,IF($AU$7="BP",BT44,BY44))</f>
        <v>14</v>
      </c>
    </row>
    <row r="45" spans="1:78" ht="12.75" customHeight="1" x14ac:dyDescent="0.25">
      <c r="A45" s="16" t="s">
        <v>32</v>
      </c>
      <c r="B45" s="17" t="s">
        <v>47</v>
      </c>
      <c r="C45" s="17" t="s">
        <v>75</v>
      </c>
      <c r="D45" s="18" t="s">
        <v>20</v>
      </c>
      <c r="E45" s="18">
        <v>277.2</v>
      </c>
      <c r="F45" s="18">
        <v>275</v>
      </c>
      <c r="G45" s="18">
        <v>65</v>
      </c>
      <c r="H45" s="19" t="e">
        <f ca="1">IF(AND(VALUE(E45)&gt;0,OR(LEFT(D45,1)="M",LEFT(D45,1)="F")),IF(LEFT(D45,1)="M",Wilks_Men(IF(RIGHT($F$7,4)="(lb)",E45/2.2046,E45)),Wilks_Women(IF(RIGHT($F$7,4)="(lb)",E45/2.2046,E45))),0)</f>
        <v>#REF!</v>
      </c>
      <c r="I45" s="16">
        <v>12</v>
      </c>
      <c r="J45" s="14" t="e">
        <f>IF(I45,VLOOKUP(I45,[2]DATA!$A$2:$B$53,2,TRUE),0)</f>
        <v>#N/A</v>
      </c>
      <c r="K45" s="18">
        <v>8</v>
      </c>
      <c r="L45" s="20">
        <v>575</v>
      </c>
      <c r="M45" s="20">
        <v>625</v>
      </c>
      <c r="N45" s="20">
        <v>675</v>
      </c>
      <c r="O45" s="21">
        <f t="shared" si="1"/>
        <v>675</v>
      </c>
      <c r="P45" s="22"/>
      <c r="Q45" s="23">
        <v>-275</v>
      </c>
      <c r="R45" s="20">
        <v>275</v>
      </c>
      <c r="S45" s="16"/>
      <c r="T45" s="21">
        <f t="shared" si="2"/>
        <v>275</v>
      </c>
      <c r="U45" s="21">
        <f t="shared" si="3"/>
        <v>950</v>
      </c>
      <c r="V45" s="20">
        <v>565</v>
      </c>
      <c r="W45" s="20">
        <v>635</v>
      </c>
      <c r="X45" s="16"/>
      <c r="Y45" s="21">
        <f t="shared" si="4"/>
        <v>635</v>
      </c>
      <c r="Z45" s="21">
        <f t="shared" ca="1" si="5"/>
        <v>0</v>
      </c>
      <c r="AA45" s="9">
        <f t="shared" ca="1" si="6"/>
        <v>0</v>
      </c>
      <c r="AB45" s="9" t="e">
        <f t="shared" ca="1" si="7"/>
        <v>#N/A</v>
      </c>
      <c r="AC45" s="8" t="e">
        <f ca="1">OFFSET([2]Setup!$F$1,MATCH(D45,[2]Setup!B:B,0)-1,0)</f>
        <v>#VALUE!</v>
      </c>
      <c r="AD45" s="10" t="str">
        <f ca="1">IF(OR(Z45=0,AU45=0),"",CONCATENATE(OFFSET($AZ$7,MATCH(AW45,AX:AX,0)-7,0),"-",D45,IF(AC45&gt;1,"","-"),IF(AC45&gt;1,"",F45),"-",$AU$7))</f>
        <v/>
      </c>
      <c r="AE45" s="7"/>
      <c r="AF45" s="5" t="e">
        <f t="shared" ca="1" si="8"/>
        <v>#VALUE!</v>
      </c>
      <c r="AG45" s="5" t="e">
        <f ca="1">SUMIF(INDIRECT($AH$6),C45,INDIRECT($AH$5))</f>
        <v>#REF!</v>
      </c>
      <c r="AU45" s="11">
        <f t="shared" ca="1" si="9"/>
        <v>0</v>
      </c>
      <c r="AV45" s="12">
        <f ca="1">IF(OR(D45="",E45="",AU45=0),0,MATCH(D45,[2]Setup!B:B,0)*10000000+IF(AC45&gt;1,0,((1000-IF(RIGHT(F45)="+",400,F45)))*1000000-E45/10)-BZ45/10000-G45/1000000+IF(AC45=1,Z45,IF(AC45=2,AA45,AB45)))</f>
        <v>0</v>
      </c>
      <c r="AW45" s="11">
        <f t="shared" ca="1" si="10"/>
        <v>1</v>
      </c>
      <c r="AX45" s="13" t="e">
        <f>AX44+1</f>
        <v>#REF!</v>
      </c>
      <c r="AY45" s="13" t="e">
        <f ca="1">CONCATENATE(OFFSET($D$7,MATCH(AX45,AW:AW,0)-7,0),IF(OFFSET($AC$7,MATCH(AX45,AW:AW,0)-7,0)&gt;1,0,OFFSET($F$7,MATCH(AX45,AW:AW,0)-7,0)))</f>
        <v>#REF!</v>
      </c>
      <c r="AZ45" s="13">
        <f ca="1">IF(ISERROR(AY44),1,IF(AY45=AY44,AZ44+1,1))</f>
        <v>1</v>
      </c>
      <c r="BA45" s="5" t="e">
        <f>HLOOKUP($A45,$BA$1:$BH$2,2,FALSE)</f>
        <v>#N/A</v>
      </c>
      <c r="BB45" s="4" t="str">
        <f t="shared" ca="1" si="11"/>
        <v/>
      </c>
      <c r="BL45" s="4">
        <v>1</v>
      </c>
      <c r="BM45" s="4">
        <v>1</v>
      </c>
      <c r="BN45" s="4">
        <v>1</v>
      </c>
      <c r="BO45" s="5">
        <f t="shared" si="12"/>
        <v>3</v>
      </c>
      <c r="BQ45" s="4">
        <v>-1</v>
      </c>
      <c r="BR45" s="4">
        <v>1</v>
      </c>
      <c r="BS45" s="4">
        <v>0</v>
      </c>
      <c r="BT45" s="5">
        <f t="shared" si="13"/>
        <v>2</v>
      </c>
      <c r="BV45" s="4">
        <v>1</v>
      </c>
      <c r="BW45" s="4">
        <v>1</v>
      </c>
      <c r="BX45" s="4">
        <v>0</v>
      </c>
      <c r="BY45" s="5">
        <f t="shared" si="14"/>
        <v>2</v>
      </c>
      <c r="BZ45" s="5">
        <f ca="1">(CODE(A45)-64)*3+IF($AU$7="SQ",BO45,IF($AU$7="BP",BT45,BY45))</f>
        <v>14</v>
      </c>
    </row>
    <row r="46" spans="1:78" ht="12.75" customHeight="1" x14ac:dyDescent="0.25">
      <c r="A46" s="16" t="s">
        <v>32</v>
      </c>
      <c r="B46" s="17" t="s">
        <v>46</v>
      </c>
      <c r="C46" s="17" t="s">
        <v>74</v>
      </c>
      <c r="D46" s="18" t="s">
        <v>20</v>
      </c>
      <c r="E46" s="18">
        <v>251.6</v>
      </c>
      <c r="F46" s="18">
        <f ca="1">VLOOKUP(IF($F$7="WtCls (lb)",E46/2.2046,E46),[2]DATA!$D$3:$H$16,IF(LEFT(D46,1)="M",2,3)+IF(AND(I46,I46&lt;24),2,0),TRUE)</f>
        <v>275</v>
      </c>
      <c r="G46" s="18">
        <v>99</v>
      </c>
      <c r="H46" s="19" t="e">
        <f ca="1">IF(AND(VALUE(E46)&gt;0,OR(LEFT(D46,1)="M",LEFT(D46,1)="F")),IF(LEFT(D46,1)="M",Wilks_Men(IF(RIGHT($F$7,4)="(lb)",E46/2.2046,E46)),Wilks_Women(IF(RIGHT($F$7,4)="(lb)",E46/2.2046,E46))),0)</f>
        <v>#REF!</v>
      </c>
      <c r="I46" s="16">
        <v>11</v>
      </c>
      <c r="J46" s="14" t="e">
        <f>IF(I46,VLOOKUP(I46,[2]DATA!$A$2:$B$53,2,TRUE),0)</f>
        <v>#N/A</v>
      </c>
      <c r="K46" s="18">
        <v>6</v>
      </c>
      <c r="L46" s="20">
        <v>510</v>
      </c>
      <c r="M46" s="20">
        <v>550</v>
      </c>
      <c r="N46" s="20">
        <v>570</v>
      </c>
      <c r="O46" s="21">
        <f t="shared" si="1"/>
        <v>570</v>
      </c>
      <c r="P46" s="22"/>
      <c r="Q46" s="20">
        <v>275</v>
      </c>
      <c r="R46" s="16"/>
      <c r="S46" s="16"/>
      <c r="T46" s="21">
        <f t="shared" si="2"/>
        <v>275</v>
      </c>
      <c r="U46" s="21">
        <f t="shared" si="3"/>
        <v>845</v>
      </c>
      <c r="V46" s="20">
        <v>520</v>
      </c>
      <c r="W46" s="23">
        <v>-560</v>
      </c>
      <c r="X46" s="23">
        <v>-560</v>
      </c>
      <c r="Y46" s="21">
        <f t="shared" si="4"/>
        <v>520</v>
      </c>
      <c r="Z46" s="21">
        <f t="shared" ca="1" si="5"/>
        <v>0</v>
      </c>
      <c r="AA46" s="9">
        <f t="shared" ca="1" si="6"/>
        <v>0</v>
      </c>
      <c r="AB46" s="9" t="e">
        <f t="shared" ca="1" si="7"/>
        <v>#N/A</v>
      </c>
      <c r="AC46" s="8" t="e">
        <f ca="1">OFFSET([2]Setup!$F$1,MATCH(D46,[2]Setup!B:B,0)-1,0)</f>
        <v>#VALUE!</v>
      </c>
      <c r="AD46" s="10" t="str">
        <f ca="1">IF(OR(Z46=0,AU46=0),"",CONCATENATE(OFFSET($AZ$7,MATCH(AW46,AX:AX,0)-7,0),"-",D46,IF(AC46&gt;1,"","-"),IF(AC46&gt;1,"",F46),"-",$AU$7))</f>
        <v/>
      </c>
      <c r="AE46" s="7"/>
      <c r="AF46" s="5" t="e">
        <f t="shared" ca="1" si="8"/>
        <v>#VALUE!</v>
      </c>
      <c r="AG46" s="5" t="e">
        <f ca="1">SUMIF(INDIRECT($AH$6),C46,INDIRECT($AH$5))</f>
        <v>#REF!</v>
      </c>
      <c r="AU46" s="11">
        <f t="shared" ca="1" si="9"/>
        <v>0</v>
      </c>
      <c r="AV46" s="12">
        <f ca="1">IF(OR(D46="",E46="",AU46=0),0,MATCH(D46,[2]Setup!B:B,0)*10000000+IF(AC46&gt;1,0,((1000-IF(RIGHT(F46)="+",400,F46)))*1000000-E46/10)-BZ46/10000-G46/1000000+IF(AC46=1,Z46,IF(AC46=2,AA46,AB46)))</f>
        <v>0</v>
      </c>
      <c r="AW46" s="11">
        <f t="shared" ca="1" si="10"/>
        <v>1</v>
      </c>
      <c r="AX46" s="13" t="e">
        <f>AX45+1</f>
        <v>#REF!</v>
      </c>
      <c r="AY46" s="13" t="e">
        <f ca="1">CONCATENATE(OFFSET($D$7,MATCH(AX46,AW:AW,0)-7,0),IF(OFFSET($AC$7,MATCH(AX46,AW:AW,0)-7,0)&gt;1,0,OFFSET($F$7,MATCH(AX46,AW:AW,0)-7,0)))</f>
        <v>#REF!</v>
      </c>
      <c r="AZ46" s="13">
        <f ca="1">IF(ISERROR(AY45),1,IF(AY46=AY45,AZ45+1,1))</f>
        <v>1</v>
      </c>
      <c r="BA46" s="5" t="e">
        <f>HLOOKUP($A46,$BA$1:$BH$2,2,FALSE)</f>
        <v>#N/A</v>
      </c>
      <c r="BB46" s="4">
        <f t="shared" ca="1" si="11"/>
        <v>560.00990000000002</v>
      </c>
      <c r="BL46" s="4">
        <v>1</v>
      </c>
      <c r="BM46" s="4">
        <v>1</v>
      </c>
      <c r="BN46" s="4">
        <v>1</v>
      </c>
      <c r="BO46" s="5">
        <f t="shared" si="12"/>
        <v>3</v>
      </c>
      <c r="BQ46" s="4">
        <v>1</v>
      </c>
      <c r="BR46" s="4">
        <v>0</v>
      </c>
      <c r="BS46" s="4">
        <v>0</v>
      </c>
      <c r="BT46" s="5">
        <f t="shared" si="13"/>
        <v>1</v>
      </c>
      <c r="BV46" s="4">
        <v>1</v>
      </c>
      <c r="BW46" s="4">
        <v>-1</v>
      </c>
      <c r="BX46" s="4">
        <v>-1</v>
      </c>
      <c r="BY46" s="5">
        <f t="shared" si="14"/>
        <v>1</v>
      </c>
      <c r="BZ46" s="5">
        <f ca="1">(CODE(A46)-64)*3+IF($AU$7="SQ",BO46,IF($AU$7="BP",BT46,BY46))</f>
        <v>13</v>
      </c>
    </row>
    <row r="47" spans="1:78" ht="12.75" customHeight="1" x14ac:dyDescent="0.25">
      <c r="A47" s="16" t="s">
        <v>32</v>
      </c>
      <c r="B47" s="17" t="s">
        <v>40</v>
      </c>
      <c r="C47" s="17" t="s">
        <v>79</v>
      </c>
      <c r="D47" s="18" t="s">
        <v>20</v>
      </c>
      <c r="E47" s="18">
        <v>260.2</v>
      </c>
      <c r="F47" s="18">
        <f ca="1">VLOOKUP(IF($F$7="WtCls (lb)",E47/2.2046,E47),[2]DATA!$D$3:$H$16,IF(LEFT(D47,1)="M",2,3)+IF(AND(I47,I47&lt;24),2,0),TRUE)</f>
        <v>275</v>
      </c>
      <c r="G47" s="18">
        <v>50</v>
      </c>
      <c r="H47" s="19" t="e">
        <f ca="1">IF(AND(VALUE(E47)&gt;0,OR(LEFT(D47,1)="M",LEFT(D47,1)="F")),IF(LEFT(D47,1)="M",Wilks_Men(IF(RIGHT($F$7,4)="(lb)",E47/2.2046,E47)),Wilks_Women(IF(RIGHT($F$7,4)="(lb)",E47/2.2046,E47))),0)</f>
        <v>#REF!</v>
      </c>
      <c r="I47" s="16">
        <v>11</v>
      </c>
      <c r="J47" s="14" t="e">
        <f>IF(I47,VLOOKUP(I47,[2]DATA!$A$2:$B$53,2,TRUE),0)</f>
        <v>#N/A</v>
      </c>
      <c r="K47" s="18">
        <v>7</v>
      </c>
      <c r="L47" s="20">
        <v>515</v>
      </c>
      <c r="M47" s="20">
        <v>550</v>
      </c>
      <c r="N47" s="20">
        <v>580</v>
      </c>
      <c r="O47" s="21">
        <f t="shared" si="1"/>
        <v>580</v>
      </c>
      <c r="P47" s="22"/>
      <c r="Q47" s="20">
        <v>210</v>
      </c>
      <c r="R47" s="16"/>
      <c r="S47" s="16"/>
      <c r="T47" s="21">
        <f t="shared" si="2"/>
        <v>210</v>
      </c>
      <c r="U47" s="21">
        <f t="shared" si="3"/>
        <v>790</v>
      </c>
      <c r="V47" s="20">
        <v>450</v>
      </c>
      <c r="W47" s="23">
        <v>-485</v>
      </c>
      <c r="X47" s="20">
        <v>485</v>
      </c>
      <c r="Y47" s="21">
        <f t="shared" si="4"/>
        <v>485</v>
      </c>
      <c r="Z47" s="21">
        <f t="shared" ca="1" si="5"/>
        <v>0</v>
      </c>
      <c r="AA47" s="9">
        <f t="shared" ca="1" si="6"/>
        <v>0</v>
      </c>
      <c r="AB47" s="9" t="e">
        <f t="shared" ca="1" si="7"/>
        <v>#N/A</v>
      </c>
      <c r="AC47" s="8" t="e">
        <f ca="1">OFFSET([2]Setup!$F$1,MATCH(D47,[2]Setup!B:B,0)-1,0)</f>
        <v>#VALUE!</v>
      </c>
      <c r="AD47" s="10" t="str">
        <f ca="1">IF(OR(Z47=0,AU47=0),"",CONCATENATE(OFFSET($AZ$7,MATCH(AW47,AX:AX,0)-7,0),"-",D47,IF(AC47&gt;1,"","-"),IF(AC47&gt;1,"",F47),"-",$AU$7))</f>
        <v/>
      </c>
      <c r="AE47" s="7"/>
      <c r="AF47" s="5" t="e">
        <f t="shared" ca="1" si="8"/>
        <v>#VALUE!</v>
      </c>
      <c r="AG47" s="5" t="e">
        <f ca="1">SUMIF(INDIRECT($AH$6),C47,INDIRECT($AH$5))</f>
        <v>#REF!</v>
      </c>
      <c r="AU47" s="11">
        <f t="shared" ca="1" si="9"/>
        <v>0</v>
      </c>
      <c r="AV47" s="12">
        <f ca="1">IF(OR(D47="",E47="",AU47=0),0,MATCH(D47,[2]Setup!B:B,0)*10000000+IF(AC47&gt;1,0,((1000-IF(RIGHT(F47)="+",400,F47)))*1000000-E47/10)-BZ47/10000-G47/1000000+IF(AC47=1,Z47,IF(AC47=2,AA47,AB47)))</f>
        <v>0</v>
      </c>
      <c r="AW47" s="11">
        <f t="shared" ca="1" si="10"/>
        <v>1</v>
      </c>
      <c r="AX47" s="13" t="e">
        <f>AX46+1</f>
        <v>#REF!</v>
      </c>
      <c r="AY47" s="13" t="e">
        <f ca="1">CONCATENATE(OFFSET($D$7,MATCH(AX47,AW:AW,0)-7,0),IF(OFFSET($AC$7,MATCH(AX47,AW:AW,0)-7,0)&gt;1,0,OFFSET($F$7,MATCH(AX47,AW:AW,0)-7,0)))</f>
        <v>#REF!</v>
      </c>
      <c r="AZ47" s="13">
        <f ca="1">IF(ISERROR(AY46),1,IF(AY47=AY46,AZ46+1,1))</f>
        <v>1</v>
      </c>
      <c r="BA47" s="5" t="e">
        <f>HLOOKUP($A47,$BA$1:$BH$2,2,FALSE)</f>
        <v>#N/A</v>
      </c>
      <c r="BB47" s="4">
        <f t="shared" ca="1" si="11"/>
        <v>485.005</v>
      </c>
      <c r="BL47" s="4">
        <v>1</v>
      </c>
      <c r="BM47" s="4">
        <v>1</v>
      </c>
      <c r="BN47" s="4">
        <v>1</v>
      </c>
      <c r="BO47" s="5">
        <f t="shared" si="12"/>
        <v>3</v>
      </c>
      <c r="BQ47" s="4">
        <v>1</v>
      </c>
      <c r="BR47" s="4">
        <v>0</v>
      </c>
      <c r="BS47" s="4">
        <v>0</v>
      </c>
      <c r="BT47" s="5">
        <f t="shared" si="13"/>
        <v>1</v>
      </c>
      <c r="BV47" s="4">
        <v>1</v>
      </c>
      <c r="BW47" s="4">
        <v>-1</v>
      </c>
      <c r="BX47" s="4">
        <v>1</v>
      </c>
      <c r="BY47" s="5">
        <f t="shared" si="14"/>
        <v>3</v>
      </c>
      <c r="BZ47" s="5">
        <f ca="1">(CODE(A47)-64)*3+IF($AU$7="SQ",BO47,IF($AU$7="BP",BT47,BY47))</f>
        <v>15</v>
      </c>
    </row>
    <row r="48" spans="1:78" ht="12.75" customHeight="1" x14ac:dyDescent="0.25">
      <c r="A48" s="16" t="s">
        <v>32</v>
      </c>
      <c r="B48" s="17" t="s">
        <v>35</v>
      </c>
      <c r="C48" s="17" t="s">
        <v>72</v>
      </c>
      <c r="D48" s="18" t="s">
        <v>20</v>
      </c>
      <c r="E48" s="18">
        <v>251.2</v>
      </c>
      <c r="F48" s="18">
        <f ca="1">VLOOKUP(IF($F$7="WtCls (lb)",E48/2.2046,E48),[2]DATA!$D$3:$H$16,IF(LEFT(D48,1)="M",2,3)+IF(AND(I48,I48&lt;24),2,0),TRUE)</f>
        <v>275</v>
      </c>
      <c r="G48" s="18">
        <v>17</v>
      </c>
      <c r="H48" s="19" t="e">
        <f ca="1">IF(AND(VALUE(E48)&gt;0,OR(LEFT(D48,1)="M",LEFT(D48,1)="F")),IF(LEFT(D48,1)="M",Wilks_Men(IF(RIGHT($F$7,4)="(lb)",E48/2.2046,E48)),Wilks_Women(IF(RIGHT($F$7,4)="(lb)",E48/2.2046,E48))),0)</f>
        <v>#REF!</v>
      </c>
      <c r="I48" s="16">
        <v>9</v>
      </c>
      <c r="J48" s="14" t="e">
        <f>IF(I48,VLOOKUP(I48,[2]DATA!$A$2:$B$53,2,TRUE),0)</f>
        <v>#N/A</v>
      </c>
      <c r="K48" s="18">
        <v>6</v>
      </c>
      <c r="L48" s="20">
        <v>405</v>
      </c>
      <c r="M48" s="20">
        <v>430</v>
      </c>
      <c r="N48" s="20">
        <v>450</v>
      </c>
      <c r="O48" s="21">
        <f t="shared" si="1"/>
        <v>450</v>
      </c>
      <c r="P48" s="22"/>
      <c r="Q48" s="20">
        <v>215</v>
      </c>
      <c r="R48" s="16"/>
      <c r="S48" s="16"/>
      <c r="T48" s="21">
        <f t="shared" si="2"/>
        <v>215</v>
      </c>
      <c r="U48" s="21">
        <f t="shared" si="3"/>
        <v>665</v>
      </c>
      <c r="V48" s="20">
        <v>360</v>
      </c>
      <c r="W48" s="20">
        <v>405</v>
      </c>
      <c r="X48" s="23">
        <v>-420</v>
      </c>
      <c r="Y48" s="21">
        <f t="shared" si="4"/>
        <v>405</v>
      </c>
      <c r="Z48" s="21">
        <f t="shared" ca="1" si="5"/>
        <v>0</v>
      </c>
      <c r="AA48" s="9">
        <f t="shared" ca="1" si="6"/>
        <v>0</v>
      </c>
      <c r="AB48" s="9" t="e">
        <f t="shared" ca="1" si="7"/>
        <v>#N/A</v>
      </c>
      <c r="AC48" s="8" t="e">
        <f ca="1">OFFSET([2]Setup!$F$1,MATCH(D48,[2]Setup!B:B,0)-1,0)</f>
        <v>#VALUE!</v>
      </c>
      <c r="AD48" s="10" t="str">
        <f ca="1">IF(OR(Z48=0,AU48=0),"",CONCATENATE(OFFSET($AZ$7,MATCH(AW48,AX:AX,0)-7,0),"-",D48,IF(AC48&gt;1,"","-"),IF(AC48&gt;1,"",F48),"-",$AU$7))</f>
        <v/>
      </c>
      <c r="AE48" s="7"/>
      <c r="AF48" s="5" t="e">
        <f t="shared" ca="1" si="8"/>
        <v>#VALUE!</v>
      </c>
      <c r="AG48" s="5" t="e">
        <f ca="1">SUMIF(INDIRECT($AH$6),C48,INDIRECT($AH$5))</f>
        <v>#REF!</v>
      </c>
      <c r="AU48" s="11">
        <f t="shared" ca="1" si="9"/>
        <v>0</v>
      </c>
      <c r="AV48" s="12">
        <f ca="1">IF(OR(D48="",E48="",AU48=0),0,MATCH(D48,[2]Setup!B:B,0)*10000000+IF(AC48&gt;1,0,((1000-IF(RIGHT(F48)="+",400,F48)))*1000000-E48/10)-BZ48/10000-G48/1000000+IF(AC48=1,Z48,IF(AC48=2,AA48,AB48)))</f>
        <v>0</v>
      </c>
      <c r="AW48" s="11">
        <f t="shared" ca="1" si="10"/>
        <v>1</v>
      </c>
      <c r="AX48" s="13" t="e">
        <f>AX47+1</f>
        <v>#REF!</v>
      </c>
      <c r="AY48" s="13" t="e">
        <f ca="1">CONCATENATE(OFFSET($D$7,MATCH(AX48,AW:AW,0)-7,0),IF(OFFSET($AC$7,MATCH(AX48,AW:AW,0)-7,0)&gt;1,0,OFFSET($F$7,MATCH(AX48,AW:AW,0)-7,0)))</f>
        <v>#REF!</v>
      </c>
      <c r="AZ48" s="13">
        <f ca="1">IF(ISERROR(AY47),1,IF(AY48=AY47,AZ47+1,1))</f>
        <v>1</v>
      </c>
      <c r="BA48" s="5" t="e">
        <f>HLOOKUP($A48,$BA$1:$BH$2,2,FALSE)</f>
        <v>#N/A</v>
      </c>
      <c r="BB48" s="4">
        <f t="shared" ca="1" si="11"/>
        <v>420.00170000000003</v>
      </c>
      <c r="BL48" s="4">
        <v>1</v>
      </c>
      <c r="BM48" s="4">
        <v>1</v>
      </c>
      <c r="BN48" s="4">
        <v>1</v>
      </c>
      <c r="BO48" s="5">
        <f t="shared" si="12"/>
        <v>3</v>
      </c>
      <c r="BQ48" s="4">
        <v>1</v>
      </c>
      <c r="BR48" s="4">
        <v>0</v>
      </c>
      <c r="BS48" s="4">
        <v>0</v>
      </c>
      <c r="BT48" s="5">
        <f t="shared" si="13"/>
        <v>1</v>
      </c>
      <c r="BV48" s="4">
        <v>1</v>
      </c>
      <c r="BW48" s="4">
        <v>1</v>
      </c>
      <c r="BX48" s="4">
        <v>-1</v>
      </c>
      <c r="BY48" s="5">
        <f t="shared" si="14"/>
        <v>2</v>
      </c>
      <c r="BZ48" s="5">
        <f ca="1">(CODE(A48)-64)*3+IF($AU$7="SQ",BO48,IF($AU$7="BP",BT48,BY48))</f>
        <v>14</v>
      </c>
    </row>
    <row r="49" spans="1:78" ht="12.75" customHeight="1" x14ac:dyDescent="0.25">
      <c r="A49" s="16" t="s">
        <v>32</v>
      </c>
      <c r="B49" s="17" t="s">
        <v>38</v>
      </c>
      <c r="C49" s="17" t="s">
        <v>78</v>
      </c>
      <c r="D49" s="18" t="s">
        <v>20</v>
      </c>
      <c r="E49" s="18">
        <v>264.2</v>
      </c>
      <c r="F49" s="18">
        <f ca="1">VLOOKUP(IF($F$7="WtCls (lb)",E49/2.2046,E49),[2]DATA!$D$3:$H$16,IF(LEFT(D49,1)="M",2,3)+IF(AND(I49,I49&lt;24),2,0),TRUE)</f>
        <v>275</v>
      </c>
      <c r="G49" s="18">
        <v>93</v>
      </c>
      <c r="H49" s="19" t="e">
        <f ca="1">IF(AND(VALUE(E49)&gt;0,OR(LEFT(D49,1)="M",LEFT(D49,1)="F")),IF(LEFT(D49,1)="M",Wilks_Men(IF(RIGHT($F$7,4)="(lb)",E49/2.2046,E49)),Wilks_Women(IF(RIGHT($F$7,4)="(lb)",E49/2.2046,E49))),0)</f>
        <v>#REF!</v>
      </c>
      <c r="I49" s="16">
        <v>10</v>
      </c>
      <c r="J49" s="14" t="e">
        <f>IF(I49,VLOOKUP(I49,[2]DATA!$A$2:$B$53,2,TRUE),0)</f>
        <v>#N/A</v>
      </c>
      <c r="K49" s="18">
        <v>8</v>
      </c>
      <c r="L49" s="20">
        <v>315</v>
      </c>
      <c r="M49" s="20">
        <v>350</v>
      </c>
      <c r="N49" s="16"/>
      <c r="O49" s="21">
        <f t="shared" si="1"/>
        <v>350</v>
      </c>
      <c r="P49" s="22"/>
      <c r="Q49" s="23">
        <v>-185</v>
      </c>
      <c r="R49" s="20">
        <v>190</v>
      </c>
      <c r="S49" s="16"/>
      <c r="T49" s="21">
        <f t="shared" si="2"/>
        <v>190</v>
      </c>
      <c r="U49" s="21">
        <f t="shared" si="3"/>
        <v>540</v>
      </c>
      <c r="V49" s="20">
        <v>405</v>
      </c>
      <c r="W49" s="23">
        <v>-420</v>
      </c>
      <c r="X49" s="16"/>
      <c r="Y49" s="21">
        <f t="shared" si="4"/>
        <v>405</v>
      </c>
      <c r="Z49" s="21">
        <f t="shared" ca="1" si="5"/>
        <v>0</v>
      </c>
      <c r="AA49" s="9">
        <f t="shared" ca="1" si="6"/>
        <v>0</v>
      </c>
      <c r="AB49" s="9" t="e">
        <f t="shared" ca="1" si="7"/>
        <v>#N/A</v>
      </c>
      <c r="AC49" s="8" t="e">
        <f ca="1">OFFSET([2]Setup!$F$1,MATCH(D49,[2]Setup!B:B,0)-1,0)</f>
        <v>#VALUE!</v>
      </c>
      <c r="AD49" s="10" t="str">
        <f ca="1">IF(OR(Z49=0,AU49=0),"",CONCATENATE(OFFSET($AZ$7,MATCH(AW49,AX:AX,0)-7,0),"-",D49,IF(AC49&gt;1,"","-"),IF(AC49&gt;1,"",F49),"-",$AU$7))</f>
        <v/>
      </c>
      <c r="AE49" s="7"/>
      <c r="AF49" s="5" t="e">
        <f t="shared" ca="1" si="8"/>
        <v>#VALUE!</v>
      </c>
      <c r="AG49" s="5" t="e">
        <f ca="1">SUMIF(INDIRECT($AH$6),C49,INDIRECT($AH$5))</f>
        <v>#REF!</v>
      </c>
      <c r="AU49" s="11">
        <f t="shared" ca="1" si="9"/>
        <v>0</v>
      </c>
      <c r="AV49" s="12">
        <f ca="1">IF(OR(D49="",E49="",AU49=0),0,MATCH(D49,[2]Setup!B:B,0)*10000000+IF(AC49&gt;1,0,((1000-IF(RIGHT(F49)="+",400,F49)))*1000000-E49/10)-BZ49/10000-G49/1000000+IF(AC49=1,Z49,IF(AC49=2,AA49,AB49)))</f>
        <v>0</v>
      </c>
      <c r="AW49" s="11">
        <f t="shared" ca="1" si="10"/>
        <v>1</v>
      </c>
      <c r="AX49" s="13" t="e">
        <f>AX48+1</f>
        <v>#REF!</v>
      </c>
      <c r="AY49" s="13" t="e">
        <f ca="1">CONCATENATE(OFFSET($D$7,MATCH(AX49,AW:AW,0)-7,0),IF(OFFSET($AC$7,MATCH(AX49,AW:AW,0)-7,0)&gt;1,0,OFFSET($F$7,MATCH(AX49,AW:AW,0)-7,0)))</f>
        <v>#REF!</v>
      </c>
      <c r="AZ49" s="13">
        <f ca="1">IF(ISERROR(AY48),1,IF(AY49=AY48,AZ48+1,1))</f>
        <v>1</v>
      </c>
      <c r="BA49" s="5" t="e">
        <f>HLOOKUP($A49,$BA$1:$BH$2,2,FALSE)</f>
        <v>#N/A</v>
      </c>
      <c r="BB49" s="4" t="str">
        <f t="shared" ca="1" si="11"/>
        <v/>
      </c>
      <c r="BL49" s="4">
        <v>1</v>
      </c>
      <c r="BM49" s="4">
        <v>1</v>
      </c>
      <c r="BN49" s="4">
        <v>0</v>
      </c>
      <c r="BO49" s="5">
        <f t="shared" si="12"/>
        <v>2</v>
      </c>
      <c r="BQ49" s="4">
        <v>-1</v>
      </c>
      <c r="BR49" s="4">
        <v>1</v>
      </c>
      <c r="BS49" s="4">
        <v>0</v>
      </c>
      <c r="BT49" s="5">
        <f t="shared" si="13"/>
        <v>2</v>
      </c>
      <c r="BV49" s="4">
        <v>1</v>
      </c>
      <c r="BW49" s="4">
        <v>-1</v>
      </c>
      <c r="BX49" s="4">
        <v>0</v>
      </c>
      <c r="BY49" s="5">
        <f t="shared" si="14"/>
        <v>1</v>
      </c>
      <c r="BZ49" s="5">
        <f ca="1">(CODE(A49)-64)*3+IF($AU$7="SQ",BO49,IF($AU$7="BP",BT49,BY49))</f>
        <v>13</v>
      </c>
    </row>
    <row r="50" spans="1:78" ht="12.75" customHeight="1" x14ac:dyDescent="0.25">
      <c r="A50" s="16"/>
      <c r="B50" s="17"/>
      <c r="C50" s="17"/>
      <c r="D50" s="18"/>
      <c r="E50" s="18"/>
      <c r="F50" s="18"/>
      <c r="G50" s="18"/>
      <c r="H50" s="19"/>
      <c r="I50" s="16"/>
      <c r="J50" s="14"/>
      <c r="K50" s="18"/>
      <c r="L50" s="20"/>
      <c r="M50" s="20"/>
      <c r="N50" s="16"/>
      <c r="O50" s="21"/>
      <c r="P50" s="22"/>
      <c r="Q50" s="23"/>
      <c r="R50" s="20"/>
      <c r="S50" s="16"/>
      <c r="T50" s="21"/>
      <c r="U50" s="21"/>
      <c r="V50" s="20"/>
      <c r="W50" s="23"/>
      <c r="X50" s="16"/>
      <c r="Y50" s="21"/>
      <c r="Z50" s="21"/>
      <c r="AA50" s="9"/>
      <c r="AB50" s="9"/>
      <c r="AC50" s="8"/>
      <c r="AD50" s="10"/>
      <c r="AE50" s="7"/>
      <c r="AF50" s="5"/>
      <c r="AG50" s="5"/>
      <c r="AU50" s="11"/>
      <c r="AV50" s="12"/>
      <c r="AW50" s="11"/>
      <c r="AX50" s="13"/>
      <c r="AY50" s="13"/>
      <c r="AZ50" s="13"/>
      <c r="BA50" s="5"/>
      <c r="BO50" s="5"/>
      <c r="BT50" s="5"/>
      <c r="BY50" s="5"/>
      <c r="BZ50" s="5"/>
    </row>
    <row r="51" spans="1:78" ht="12.75" customHeight="1" x14ac:dyDescent="0.25">
      <c r="A51" s="16" t="s">
        <v>32</v>
      </c>
      <c r="B51" s="17" t="s">
        <v>45</v>
      </c>
      <c r="C51" s="17" t="s">
        <v>80</v>
      </c>
      <c r="D51" s="18" t="s">
        <v>20</v>
      </c>
      <c r="E51" s="18">
        <v>310.39999999999998</v>
      </c>
      <c r="F51" s="18">
        <v>308</v>
      </c>
      <c r="G51" s="18">
        <v>109</v>
      </c>
      <c r="H51" s="19" t="e">
        <f ca="1">IF(AND(VALUE(E51)&gt;0,OR(LEFT(D51,1)="M",LEFT(D51,1)="F")),IF(LEFT(D51,1)="M",Wilks_Men(IF(RIGHT($F$7,4)="(lb)",E51/2.2046,E51)),Wilks_Women(IF(RIGHT($F$7,4)="(lb)",E51/2.2046,E51))),0)</f>
        <v>#REF!</v>
      </c>
      <c r="I51" s="16">
        <v>12</v>
      </c>
      <c r="J51" s="14" t="e">
        <f>IF(I51,VLOOKUP(I51,[2]DATA!$A$2:$B$53,2,TRUE),0)</f>
        <v>#N/A</v>
      </c>
      <c r="K51" s="18">
        <v>7</v>
      </c>
      <c r="L51" s="20">
        <v>685</v>
      </c>
      <c r="M51" s="20">
        <v>715</v>
      </c>
      <c r="N51" s="23">
        <v>-750</v>
      </c>
      <c r="O51" s="21">
        <f>IF(MAX(BL51:BN51)&gt;0,MAX(ABS(L51)*BL51,ABS(M51)*BM51,ABS(N51)*BN51),0)</f>
        <v>715</v>
      </c>
      <c r="P51" s="22"/>
      <c r="Q51" s="20">
        <v>315</v>
      </c>
      <c r="R51" s="20">
        <v>340</v>
      </c>
      <c r="S51" s="16"/>
      <c r="T51" s="21">
        <f>IF(MAX(BQ51:BS51)&gt;0,MAX(ABS(Q51)*BQ51,ABS(R51)*BR51,ABS(S51)*BS51),0)</f>
        <v>340</v>
      </c>
      <c r="U51" s="21">
        <f>IF(OR(O51=0,T51=0),0,O51+T51)</f>
        <v>1055</v>
      </c>
      <c r="V51" s="20">
        <v>500</v>
      </c>
      <c r="W51" s="20">
        <v>555</v>
      </c>
      <c r="X51" s="16"/>
      <c r="Y51" s="21">
        <f>IF(MAX(BV51:BX51)&gt;0,MAX(ABS(V51)*BV51,ABS(W51)*BW51,ABS(X51)*BX51),0)</f>
        <v>555</v>
      </c>
      <c r="Z51" s="21">
        <f ca="1">AU51*IF($AU$7="SQ",O51,IF($AU$7="BP",T51,IF($AU$7="DL",Y51,IF($AU$7="PP",IF(OR(T51=0,Y51=0),0,T51+Y51),IF(OR($U51=0,$Y51=0),0,$O51+$T51+$Y51)))))</f>
        <v>0</v>
      </c>
      <c r="AA51" s="9">
        <f ca="1">IF($E$3="Lb",Z51*H51/2.2046,Z51*H51)</f>
        <v>0</v>
      </c>
      <c r="AB51" s="9" t="e">
        <f ca="1">IF(AND(I51&gt;23,I51&lt;40),0,AA51*J51)</f>
        <v>#N/A</v>
      </c>
      <c r="AC51" s="8" t="e">
        <f ca="1">OFFSET([2]Setup!$F$1,MATCH(D51,[2]Setup!B:B,0)-1,0)</f>
        <v>#VALUE!</v>
      </c>
      <c r="AD51" s="10" t="str">
        <f ca="1">IF(OR(Z51=0,AU51=0),"",CONCATENATE(OFFSET($AZ$7,MATCH(AW51,AX:AX,0)-7,0),"-",D51,IF(AC51&gt;1,"","-"),IF(AC51&gt;1,"",F51),"-",$AU$7))</f>
        <v/>
      </c>
      <c r="AE51" s="7"/>
      <c r="AF51" s="5" t="e">
        <f ca="1">IF(OR(VALUE(LEFT(AD51,1))&gt;5,Z51=0),0,VLOOKUP(VALUE(LEFT(AD51,1)),$CB$1:$CC$5,2))</f>
        <v>#VALUE!</v>
      </c>
      <c r="AG51" s="5" t="e">
        <f ca="1">SUMIF(INDIRECT($AH$6),C51,INDIRECT($AH$5))</f>
        <v>#REF!</v>
      </c>
      <c r="AU51" s="11">
        <f ca="1">IF(ISERROR(FIND($AU$7,AE51)),0,1)</f>
        <v>0</v>
      </c>
      <c r="AV51" s="12">
        <f ca="1">IF(OR(D51="",E51="",AU51=0),0,MATCH(D51,[2]Setup!B:B,0)*10000000+IF(AC51&gt;1,0,((1000-IF(RIGHT(F51)="+",400,F51)))*1000000-E51/10)-BZ51/10000-G51/1000000+IF(AC51=1,Z51,IF(AC51=2,AA51,AB51)))</f>
        <v>0</v>
      </c>
      <c r="AW51" s="11">
        <f ca="1">RANK(AV51,INDIRECT($AV$6))</f>
        <v>1</v>
      </c>
      <c r="AX51" s="13" t="e">
        <f>AX49+1</f>
        <v>#REF!</v>
      </c>
      <c r="AY51" s="13" t="e">
        <f ca="1">CONCATENATE(OFFSET($D$7,MATCH(AX51,AW:AW,0)-7,0),IF(OFFSET($AC$7,MATCH(AX51,AW:AW,0)-7,0)&gt;1,0,OFFSET($F$7,MATCH(AX51,AW:AW,0)-7,0)))</f>
        <v>#REF!</v>
      </c>
      <c r="AZ51" s="13">
        <f ca="1">IF(ISERROR(AY49),1,IF(AY51=AY49,AZ49+1,1))</f>
        <v>1</v>
      </c>
      <c r="BA51" s="5" t="e">
        <f>HLOOKUP($A51,$BA$1:$BH$2,2,FALSE)</f>
        <v>#N/A</v>
      </c>
      <c r="BB51" s="4" t="str">
        <f ca="1">IF(INDIRECT(ADDRESS(ROW(BB51),$BB$4))="","",ABS(INDIRECT(ADDRESS(ROW(BB51),$BB$4)))+0.0001*INDIRECT(ADDRESS(ROW(BB51),7)))</f>
        <v/>
      </c>
      <c r="BL51" s="4">
        <v>1</v>
      </c>
      <c r="BM51" s="4">
        <v>1</v>
      </c>
      <c r="BN51" s="4">
        <v>-1</v>
      </c>
      <c r="BO51" s="5">
        <f>IF(BN51=1,3,IF(BM51=1,2,IF(BL51=1,1,0)))</f>
        <v>2</v>
      </c>
      <c r="BQ51" s="4">
        <v>1</v>
      </c>
      <c r="BR51" s="4">
        <v>1</v>
      </c>
      <c r="BS51" s="4">
        <v>0</v>
      </c>
      <c r="BT51" s="5">
        <f>IF(BS51=1,3,IF(BR51=1,2,IF(BQ51=1,1,0)))</f>
        <v>2</v>
      </c>
      <c r="BV51" s="4">
        <v>1</v>
      </c>
      <c r="BW51" s="4">
        <v>1</v>
      </c>
      <c r="BX51" s="4">
        <v>0</v>
      </c>
      <c r="BY51" s="5">
        <f>IF(BX51=1,3,IF(BW51=1,2,IF(BV51=1,1,0)))</f>
        <v>2</v>
      </c>
      <c r="BZ51" s="5">
        <f ca="1">(CODE(A51)-64)*3+IF($AU$7="SQ",BO51,IF($AU$7="BP",BT51,BY51))</f>
        <v>14</v>
      </c>
    </row>
    <row r="52" spans="1:78" ht="12.75" customHeight="1" x14ac:dyDescent="0.25">
      <c r="A52" s="16" t="s">
        <v>32</v>
      </c>
      <c r="B52" s="17" t="s">
        <v>44</v>
      </c>
      <c r="C52" s="17" t="s">
        <v>75</v>
      </c>
      <c r="D52" s="18" t="s">
        <v>20</v>
      </c>
      <c r="E52" s="18">
        <v>301</v>
      </c>
      <c r="F52" s="18" t="str">
        <f ca="1">VLOOKUP(IF($F$7="WtCls (lb)",E52/2.2046,E52),[2]DATA!$D$3:$H$16,IF(LEFT(D52,1)="M",2,3)+IF(AND(I52,I52&lt;24),2,0),TRUE)</f>
        <v>308</v>
      </c>
      <c r="G52" s="18">
        <v>66</v>
      </c>
      <c r="H52" s="19" t="e">
        <f ca="1">IF(AND(VALUE(E52)&gt;0,OR(LEFT(D52,1)="M",LEFT(D52,1)="F")),IF(LEFT(D52,1)="M",Wilks_Men(IF(RIGHT($F$7,4)="(lb)",E52/2.2046,E52)),Wilks_Women(IF(RIGHT($F$7,4)="(lb)",E52/2.2046,E52))),0)</f>
        <v>#REF!</v>
      </c>
      <c r="I52" s="16">
        <v>12</v>
      </c>
      <c r="J52" s="14" t="e">
        <f>IF(I52,VLOOKUP(I52,[2]DATA!$A$2:$B$53,2,TRUE),0)</f>
        <v>#N/A</v>
      </c>
      <c r="K52" s="18">
        <v>8</v>
      </c>
      <c r="L52" s="20">
        <v>525</v>
      </c>
      <c r="M52" s="20">
        <v>585</v>
      </c>
      <c r="N52" s="23">
        <v>-635</v>
      </c>
      <c r="O52" s="21">
        <f>IF(MAX(BL52:BN52)&gt;0,MAX(ABS(L52)*BL52,ABS(M52)*BM52,ABS(N52)*BN52),0)</f>
        <v>585</v>
      </c>
      <c r="P52" s="22"/>
      <c r="Q52" s="20">
        <v>285</v>
      </c>
      <c r="R52" s="20">
        <v>325</v>
      </c>
      <c r="S52" s="16"/>
      <c r="T52" s="21">
        <f>IF(MAX(BQ52:BS52)&gt;0,MAX(ABS(Q52)*BQ52,ABS(R52)*BR52,ABS(S52)*BS52),0)</f>
        <v>325</v>
      </c>
      <c r="U52" s="21">
        <f>IF(OR(O52=0,T52=0),0,O52+T52)</f>
        <v>910</v>
      </c>
      <c r="V52" s="20">
        <v>500</v>
      </c>
      <c r="W52" s="20">
        <v>555</v>
      </c>
      <c r="X52" s="16"/>
      <c r="Y52" s="21">
        <f>IF(MAX(BV52:BX52)&gt;0,MAX(ABS(V52)*BV52,ABS(W52)*BW52,ABS(X52)*BX52),0)</f>
        <v>555</v>
      </c>
      <c r="Z52" s="21">
        <f ca="1">AU52*IF($AU$7="SQ",O52,IF($AU$7="BP",T52,IF($AU$7="DL",Y52,IF($AU$7="PP",IF(OR(T52=0,Y52=0),0,T52+Y52),IF(OR($U52=0,$Y52=0),0,$O52+$T52+$Y52)))))</f>
        <v>0</v>
      </c>
      <c r="AA52" s="9">
        <f ca="1">IF($E$3="Lb",Z52*H52/2.2046,Z52*H52)</f>
        <v>0</v>
      </c>
      <c r="AB52" s="9" t="e">
        <f ca="1">IF(AND(I52&gt;23,I52&lt;40),0,AA52*J52)</f>
        <v>#N/A</v>
      </c>
      <c r="AC52" s="8" t="e">
        <f ca="1">OFFSET([2]Setup!$F$1,MATCH(D52,[2]Setup!B:B,0)-1,0)</f>
        <v>#VALUE!</v>
      </c>
      <c r="AD52" s="10" t="str">
        <f ca="1">IF(OR(Z52=0,AU52=0),"",CONCATENATE(OFFSET($AZ$7,MATCH(AW52,AX:AX,0)-7,0),"-",D52,IF(AC52&gt;1,"","-"),IF(AC52&gt;1,"",F52),"-",$AU$7))</f>
        <v/>
      </c>
      <c r="AE52" s="7"/>
      <c r="AF52" s="5" t="e">
        <f ca="1">IF(OR(VALUE(LEFT(AD52,1))&gt;5,Z52=0),0,VLOOKUP(VALUE(LEFT(AD52,1)),$CB$1:$CC$5,2))</f>
        <v>#VALUE!</v>
      </c>
      <c r="AG52" s="5" t="e">
        <f ca="1">SUMIF(INDIRECT($AH$6),C52,INDIRECT($AH$5))</f>
        <v>#REF!</v>
      </c>
      <c r="AU52" s="11">
        <f ca="1">IF(ISERROR(FIND($AU$7,AE52)),0,1)</f>
        <v>0</v>
      </c>
      <c r="AV52" s="12">
        <f ca="1">IF(OR(D52="",E52="",AU52=0),0,MATCH(D52,[2]Setup!B:B,0)*10000000+IF(AC52&gt;1,0,((1000-IF(RIGHT(F52)="+",400,F52)))*1000000-E52/10)-BZ52/10000-G52/1000000+IF(AC52=1,Z52,IF(AC52=2,AA52,AB52)))</f>
        <v>0</v>
      </c>
      <c r="AW52" s="11">
        <f ca="1">RANK(AV52,INDIRECT($AV$6))</f>
        <v>1</v>
      </c>
      <c r="AX52" s="13" t="e">
        <f>AX51+1</f>
        <v>#REF!</v>
      </c>
      <c r="AY52" s="13" t="e">
        <f ca="1">CONCATENATE(OFFSET($D$7,MATCH(AX52,AW:AW,0)-7,0),IF(OFFSET($AC$7,MATCH(AX52,AW:AW,0)-7,0)&gt;1,0,OFFSET($F$7,MATCH(AX52,AW:AW,0)-7,0)))</f>
        <v>#REF!</v>
      </c>
      <c r="AZ52" s="13">
        <f ca="1">IF(ISERROR(AY51),1,IF(AY52=AY51,AZ51+1,1))</f>
        <v>1</v>
      </c>
      <c r="BA52" s="5" t="e">
        <f>HLOOKUP($A52,$BA$1:$BH$2,2,FALSE)</f>
        <v>#N/A</v>
      </c>
      <c r="BB52" s="4" t="str">
        <f ca="1">IF(INDIRECT(ADDRESS(ROW(BB52),$BB$4))="","",ABS(INDIRECT(ADDRESS(ROW(BB52),$BB$4)))+0.0001*INDIRECT(ADDRESS(ROW(BB52),7)))</f>
        <v/>
      </c>
      <c r="BL52" s="4">
        <v>1</v>
      </c>
      <c r="BM52" s="4">
        <v>1</v>
      </c>
      <c r="BN52" s="4">
        <v>-1</v>
      </c>
      <c r="BO52" s="5">
        <f>IF(BN52=1,3,IF(BM52=1,2,IF(BL52=1,1,0)))</f>
        <v>2</v>
      </c>
      <c r="BQ52" s="4">
        <v>1</v>
      </c>
      <c r="BR52" s="4">
        <v>1</v>
      </c>
      <c r="BS52" s="4">
        <v>0</v>
      </c>
      <c r="BT52" s="5">
        <f>IF(BS52=1,3,IF(BR52=1,2,IF(BQ52=1,1,0)))</f>
        <v>2</v>
      </c>
      <c r="BV52" s="4">
        <v>1</v>
      </c>
      <c r="BW52" s="4">
        <v>1</v>
      </c>
      <c r="BX52" s="4">
        <v>0</v>
      </c>
      <c r="BY52" s="5">
        <f>IF(BX52=1,3,IF(BW52=1,2,IF(BV52=1,1,0)))</f>
        <v>2</v>
      </c>
      <c r="BZ52" s="5">
        <f ca="1">(CODE(A52)-64)*3+IF($AU$7="SQ",BO52,IF($AU$7="BP",BT52,BY52))</f>
        <v>14</v>
      </c>
    </row>
    <row r="53" spans="1:78" ht="12.75" customHeight="1" x14ac:dyDescent="0.25">
      <c r="A53" s="16" t="s">
        <v>32</v>
      </c>
      <c r="B53" s="17" t="s">
        <v>36</v>
      </c>
      <c r="C53" s="17" t="s">
        <v>75</v>
      </c>
      <c r="D53" s="18" t="s">
        <v>20</v>
      </c>
      <c r="E53" s="18">
        <v>284.60000000000002</v>
      </c>
      <c r="F53" s="18" t="str">
        <f ca="1">VLOOKUP(IF($F$7="WtCls (lb)",E53/2.2046,E53),[2]DATA!$D$3:$H$16,IF(LEFT(D53,1)="M",2,3)+IF(AND(I53,I53&lt;24),2,0),TRUE)</f>
        <v>308</v>
      </c>
      <c r="G53" s="18">
        <v>21</v>
      </c>
      <c r="H53" s="19" t="e">
        <f ca="1">IF(AND(VALUE(E53)&gt;0,OR(LEFT(D53,1)="M",LEFT(D53,1)="F")),IF(LEFT(D53,1)="M",Wilks_Men(IF(RIGHT($F$7,4)="(lb)",E53/2.2046,E53)),Wilks_Women(IF(RIGHT($F$7,4)="(lb)",E53/2.2046,E53))),0)</f>
        <v>#REF!</v>
      </c>
      <c r="I53" s="16">
        <v>9</v>
      </c>
      <c r="J53" s="14" t="e">
        <f>IF(I53,VLOOKUP(I53,[2]DATA!$A$2:$B$53,2,TRUE),0)</f>
        <v>#N/A</v>
      </c>
      <c r="K53" s="18">
        <v>7</v>
      </c>
      <c r="L53" s="20">
        <v>475</v>
      </c>
      <c r="M53" s="20">
        <v>525</v>
      </c>
      <c r="N53" s="20">
        <v>565</v>
      </c>
      <c r="O53" s="21">
        <f>IF(MAX(BL53:BN53)&gt;0,MAX(ABS(L53)*BL53,ABS(M53)*BM53,ABS(N53)*BN53),0)</f>
        <v>565</v>
      </c>
      <c r="P53" s="22"/>
      <c r="Q53" s="20">
        <v>215</v>
      </c>
      <c r="R53" s="20">
        <v>235</v>
      </c>
      <c r="S53" s="16"/>
      <c r="T53" s="21">
        <f>IF(MAX(BQ53:BS53)&gt;0,MAX(ABS(Q53)*BQ53,ABS(R53)*BR53,ABS(S53)*BS53),0)</f>
        <v>235</v>
      </c>
      <c r="U53" s="21">
        <f>IF(OR(O53=0,T53=0),0,O53+T53)</f>
        <v>800</v>
      </c>
      <c r="V53" s="20">
        <v>385</v>
      </c>
      <c r="W53" s="20">
        <v>435</v>
      </c>
      <c r="X53" s="16"/>
      <c r="Y53" s="21">
        <f>IF(MAX(BV53:BX53)&gt;0,MAX(ABS(V53)*BV53,ABS(W53)*BW53,ABS(X53)*BX53),0)</f>
        <v>435</v>
      </c>
      <c r="Z53" s="21">
        <f ca="1">AU53*IF($AU$7="SQ",O53,IF($AU$7="BP",T53,IF($AU$7="DL",Y53,IF($AU$7="PP",IF(OR(T53=0,Y53=0),0,T53+Y53),IF(OR($U53=0,$Y53=0),0,$O53+$T53+$Y53)))))</f>
        <v>0</v>
      </c>
      <c r="AA53" s="9">
        <f ca="1">IF($E$3="Lb",Z53*H53/2.2046,Z53*H53)</f>
        <v>0</v>
      </c>
      <c r="AB53" s="9" t="e">
        <f ca="1">IF(AND(I53&gt;23,I53&lt;40),0,AA53*J53)</f>
        <v>#N/A</v>
      </c>
      <c r="AC53" s="8" t="e">
        <f ca="1">OFFSET([2]Setup!$F$1,MATCH(D53,[2]Setup!B:B,0)-1,0)</f>
        <v>#VALUE!</v>
      </c>
      <c r="AD53" s="10" t="str">
        <f ca="1">IF(OR(Z53=0,AU53=0),"",CONCATENATE(OFFSET($AZ$7,MATCH(AW53,AX:AX,0)-7,0),"-",D53,IF(AC53&gt;1,"","-"),IF(AC53&gt;1,"",F53),"-",$AU$7))</f>
        <v/>
      </c>
      <c r="AE53" s="7"/>
      <c r="AF53" s="5" t="e">
        <f ca="1">IF(OR(VALUE(LEFT(AD53,1))&gt;5,Z53=0),0,VLOOKUP(VALUE(LEFT(AD53,1)),$CB$1:$CC$5,2))</f>
        <v>#VALUE!</v>
      </c>
      <c r="AG53" s="5" t="e">
        <f ca="1">SUMIF(INDIRECT($AH$6),C53,INDIRECT($AH$5))</f>
        <v>#REF!</v>
      </c>
      <c r="AU53" s="11">
        <f ca="1">IF(ISERROR(FIND($AU$7,AE53)),0,1)</f>
        <v>0</v>
      </c>
      <c r="AV53" s="12">
        <f ca="1">IF(OR(D53="",E53="",AU53=0),0,MATCH(D53,[2]Setup!B:B,0)*10000000+IF(AC53&gt;1,0,((1000-IF(RIGHT(F53)="+",400,F53)))*1000000-E53/10)-BZ53/10000-G53/1000000+IF(AC53=1,Z53,IF(AC53=2,AA53,AB53)))</f>
        <v>0</v>
      </c>
      <c r="AW53" s="11">
        <f ca="1">RANK(AV53,INDIRECT($AV$6))</f>
        <v>1</v>
      </c>
      <c r="AX53" s="13" t="e">
        <f>AX52+1</f>
        <v>#REF!</v>
      </c>
      <c r="AY53" s="13" t="e">
        <f ca="1">CONCATENATE(OFFSET($D$7,MATCH(AX53,AW:AW,0)-7,0),IF(OFFSET($AC$7,MATCH(AX53,AW:AW,0)-7,0)&gt;1,0,OFFSET($F$7,MATCH(AX53,AW:AW,0)-7,0)))</f>
        <v>#REF!</v>
      </c>
      <c r="AZ53" s="13">
        <f ca="1">IF(ISERROR(AY52),1,IF(AY53=AY52,AZ52+1,1))</f>
        <v>1</v>
      </c>
      <c r="BA53" s="5" t="e">
        <f>HLOOKUP($A53,$BA$1:$BH$2,2,FALSE)</f>
        <v>#N/A</v>
      </c>
      <c r="BB53" s="4" t="str">
        <f ca="1">IF(INDIRECT(ADDRESS(ROW(BB53),$BB$4))="","",ABS(INDIRECT(ADDRESS(ROW(BB53),$BB$4)))+0.0001*INDIRECT(ADDRESS(ROW(BB53),7)))</f>
        <v/>
      </c>
      <c r="BL53" s="4">
        <v>1</v>
      </c>
      <c r="BM53" s="4">
        <v>1</v>
      </c>
      <c r="BN53" s="4">
        <v>1</v>
      </c>
      <c r="BO53" s="5">
        <f>IF(BN53=1,3,IF(BM53=1,2,IF(BL53=1,1,0)))</f>
        <v>3</v>
      </c>
      <c r="BQ53" s="4">
        <v>1</v>
      </c>
      <c r="BR53" s="4">
        <v>1</v>
      </c>
      <c r="BS53" s="4">
        <v>0</v>
      </c>
      <c r="BT53" s="5">
        <f>IF(BS53=1,3,IF(BR53=1,2,IF(BQ53=1,1,0)))</f>
        <v>2</v>
      </c>
      <c r="BV53" s="4">
        <v>1</v>
      </c>
      <c r="BW53" s="4">
        <v>1</v>
      </c>
      <c r="BX53" s="4">
        <v>0</v>
      </c>
      <c r="BY53" s="5">
        <f>IF(BX53=1,3,IF(BW53=1,2,IF(BV53=1,1,0)))</f>
        <v>2</v>
      </c>
      <c r="BZ53" s="5">
        <f ca="1">(CODE(A53)-64)*3+IF($AU$7="SQ",BO53,IF($AU$7="BP",BT53,BY53))</f>
        <v>14</v>
      </c>
    </row>
    <row r="54" spans="1:78" ht="12.75" customHeight="1" x14ac:dyDescent="0.25">
      <c r="A54" s="16" t="s">
        <v>32</v>
      </c>
      <c r="B54" s="17" t="s">
        <v>39</v>
      </c>
      <c r="C54" s="17" t="s">
        <v>80</v>
      </c>
      <c r="D54" s="18" t="s">
        <v>20</v>
      </c>
      <c r="E54" s="18">
        <v>304.8</v>
      </c>
      <c r="F54" s="18" t="str">
        <f ca="1">VLOOKUP(IF($F$7="WtCls (lb)",E54/2.2046,E54),[2]DATA!$D$3:$H$16,IF(LEFT(D54,1)="M",2,3)+IF(AND(I54,I54&lt;24),2,0),TRUE)</f>
        <v>308</v>
      </c>
      <c r="G54" s="18">
        <v>108</v>
      </c>
      <c r="H54" s="19" t="e">
        <f ca="1">IF(AND(VALUE(E54)&gt;0,OR(LEFT(D54,1)="M",LEFT(D54,1)="F")),IF(LEFT(D54,1)="M",Wilks_Men(IF(RIGHT($F$7,4)="(lb)",E54/2.2046,E54)),Wilks_Women(IF(RIGHT($F$7,4)="(lb)",E54/2.2046,E54))),0)</f>
        <v>#REF!</v>
      </c>
      <c r="I54" s="16">
        <v>9</v>
      </c>
      <c r="J54" s="14" t="e">
        <f>IF(I54,VLOOKUP(I54,[2]DATA!$A$2:$B$53,2,TRUE),0)</f>
        <v>#N/A</v>
      </c>
      <c r="K54" s="18">
        <v>8</v>
      </c>
      <c r="L54" s="23">
        <v>-305</v>
      </c>
      <c r="M54" s="20">
        <v>305</v>
      </c>
      <c r="N54" s="20">
        <v>405</v>
      </c>
      <c r="O54" s="21">
        <f>IF(MAX(BL54:BN54)&gt;0,MAX(ABS(L54)*BL54,ABS(M54)*BM54,ABS(N54)*BN54),0)</f>
        <v>405</v>
      </c>
      <c r="P54" s="22"/>
      <c r="Q54" s="20">
        <v>205</v>
      </c>
      <c r="R54" s="16"/>
      <c r="S54" s="16"/>
      <c r="T54" s="21">
        <f>IF(MAX(BQ54:BS54)&gt;0,MAX(ABS(Q54)*BQ54,ABS(R54)*BR54,ABS(S54)*BS54),0)</f>
        <v>205</v>
      </c>
      <c r="U54" s="21">
        <f>IF(OR(O54=0,T54=0),0,O54+T54)</f>
        <v>610</v>
      </c>
      <c r="V54" s="20">
        <v>355</v>
      </c>
      <c r="W54" s="20">
        <v>450</v>
      </c>
      <c r="X54" s="20">
        <v>500</v>
      </c>
      <c r="Y54" s="21">
        <f>IF(MAX(BV54:BX54)&gt;0,MAX(ABS(V54)*BV54,ABS(W54)*BW54,ABS(X54)*BX54),0)</f>
        <v>500</v>
      </c>
      <c r="Z54" s="21">
        <f ca="1">AU54*IF($AU$7="SQ",O54,IF($AU$7="BP",T54,IF($AU$7="DL",Y54,IF($AU$7="PP",IF(OR(T54=0,Y54=0),0,T54+Y54),IF(OR($U54=0,$Y54=0),0,$O54+$T54+$Y54)))))</f>
        <v>0</v>
      </c>
      <c r="AA54" s="9">
        <f ca="1">IF($E$3="Lb",Z54*H54/2.2046,Z54*H54)</f>
        <v>0</v>
      </c>
      <c r="AB54" s="9" t="e">
        <f ca="1">IF(AND(I54&gt;23,I54&lt;40),0,AA54*J54)</f>
        <v>#N/A</v>
      </c>
      <c r="AC54" s="8" t="e">
        <f ca="1">OFFSET([2]Setup!$F$1,MATCH(D54,[2]Setup!B:B,0)-1,0)</f>
        <v>#VALUE!</v>
      </c>
      <c r="AD54" s="10" t="str">
        <f ca="1">IF(OR(Z54=0,AU54=0),"",CONCATENATE(OFFSET($AZ$7,MATCH(AW54,AX:AX,0)-7,0),"-",D54,IF(AC54&gt;1,"","-"),IF(AC54&gt;1,"",F54),"-",$AU$7))</f>
        <v/>
      </c>
      <c r="AE54" s="7"/>
      <c r="AF54" s="5" t="e">
        <f ca="1">IF(OR(VALUE(LEFT(AD54,1))&gt;5,Z54=0),0,VLOOKUP(VALUE(LEFT(AD54,1)),$CB$1:$CC$5,2))</f>
        <v>#VALUE!</v>
      </c>
      <c r="AG54" s="5" t="e">
        <f ca="1">SUMIF(INDIRECT($AH$6),C54,INDIRECT($AH$5))</f>
        <v>#REF!</v>
      </c>
      <c r="AU54" s="11">
        <f ca="1">IF(ISERROR(FIND($AU$7,AE54)),0,1)</f>
        <v>0</v>
      </c>
      <c r="AV54" s="12">
        <f ca="1">IF(OR(D54="",E54="",AU54=0),0,MATCH(D54,[2]Setup!B:B,0)*10000000+IF(AC54&gt;1,0,((1000-IF(RIGHT(F54)="+",400,F54)))*1000000-E54/10)-BZ54/10000-G54/1000000+IF(AC54=1,Z54,IF(AC54=2,AA54,AB54)))</f>
        <v>0</v>
      </c>
      <c r="AW54" s="11">
        <f ca="1">RANK(AV54,INDIRECT($AV$6))</f>
        <v>1</v>
      </c>
      <c r="AX54" s="13" t="e">
        <f>AX53+1</f>
        <v>#REF!</v>
      </c>
      <c r="AY54" s="13" t="e">
        <f ca="1">CONCATENATE(OFFSET($D$7,MATCH(AX54,AW:AW,0)-7,0),IF(OFFSET($AC$7,MATCH(AX54,AW:AW,0)-7,0)&gt;1,0,OFFSET($F$7,MATCH(AX54,AW:AW,0)-7,0)))</f>
        <v>#REF!</v>
      </c>
      <c r="AZ54" s="13">
        <f ca="1">IF(ISERROR(AY53),1,IF(AY54=AY53,AZ53+1,1))</f>
        <v>1</v>
      </c>
      <c r="BA54" s="5" t="e">
        <f>HLOOKUP($A54,$BA$1:$BH$2,2,FALSE)</f>
        <v>#N/A</v>
      </c>
      <c r="BB54" s="4">
        <f ca="1">IF(INDIRECT(ADDRESS(ROW(BB54),$BB$4))="","",ABS(INDIRECT(ADDRESS(ROW(BB54),$BB$4)))+0.0001*INDIRECT(ADDRESS(ROW(BB54),7)))</f>
        <v>500.01080000000002</v>
      </c>
      <c r="BL54" s="4">
        <v>-1</v>
      </c>
      <c r="BM54" s="4">
        <v>1</v>
      </c>
      <c r="BN54" s="4">
        <v>1</v>
      </c>
      <c r="BO54" s="5">
        <f>IF(BN54=1,3,IF(BM54=1,2,IF(BL54=1,1,0)))</f>
        <v>3</v>
      </c>
      <c r="BQ54" s="4">
        <v>1</v>
      </c>
      <c r="BR54" s="4">
        <v>0</v>
      </c>
      <c r="BS54" s="4">
        <v>0</v>
      </c>
      <c r="BT54" s="5">
        <f>IF(BS54=1,3,IF(BR54=1,2,IF(BQ54=1,1,0)))</f>
        <v>1</v>
      </c>
      <c r="BV54" s="4">
        <v>1</v>
      </c>
      <c r="BW54" s="4">
        <v>1</v>
      </c>
      <c r="BX54" s="4">
        <v>1</v>
      </c>
      <c r="BY54" s="5">
        <f>IF(BX54=1,3,IF(BW54=1,2,IF(BV54=1,1,0)))</f>
        <v>3</v>
      </c>
      <c r="BZ54" s="5">
        <f ca="1">(CODE(A54)-64)*3+IF($AU$7="SQ",BO54,IF($AU$7="BP",BT54,BY54))</f>
        <v>15</v>
      </c>
    </row>
    <row r="55" spans="1:78" ht="12.75" customHeight="1" x14ac:dyDescent="0.25">
      <c r="A55" s="16" t="s">
        <v>48</v>
      </c>
      <c r="B55" s="17" t="s">
        <v>33</v>
      </c>
      <c r="C55" s="17" t="s">
        <v>81</v>
      </c>
      <c r="D55" s="18" t="s">
        <v>20</v>
      </c>
      <c r="E55" s="18">
        <v>305.2</v>
      </c>
      <c r="F55" s="18" t="str">
        <f ca="1">VLOOKUP(IF($F$7="WtCls (lb)",E55/2.2046,E55),[2]DATA!$D$3:$H$16,IF(LEFT(D55,1)="M",2,3)+IF(AND(I55,I55&lt;24),2,0),TRUE)</f>
        <v>308</v>
      </c>
      <c r="G55" s="18">
        <v>22</v>
      </c>
      <c r="H55" s="19" t="e">
        <f ca="1">IF(AND(VALUE(E55)&gt;0,OR(LEFT(D55,1)="M",LEFT(D55,1)="F")),IF(LEFT(D55,1)="M",Wilks_Men(IF(RIGHT($F$7,4)="(lb)",E55/2.2046,E55)),Wilks_Women(IF(RIGHT($F$7,4)="(lb)",E55/2.2046,E55))),0)</f>
        <v>#REF!</v>
      </c>
      <c r="I55" s="16">
        <v>9</v>
      </c>
      <c r="J55" s="14" t="e">
        <f>IF(I55,VLOOKUP(I55,[2]DATA!$A$2:$B$53,2,TRUE),0)</f>
        <v>#N/A</v>
      </c>
      <c r="K55" s="18">
        <v>8</v>
      </c>
      <c r="L55" s="20">
        <v>225</v>
      </c>
      <c r="M55" s="23">
        <v>-325</v>
      </c>
      <c r="N55" s="16"/>
      <c r="O55" s="21">
        <f>IF(MAX(BL55:BN55)&gt;0,MAX(ABS(L55)*BL55,ABS(M55)*BM55,ABS(N55)*BN55),0)</f>
        <v>225</v>
      </c>
      <c r="P55" s="22"/>
      <c r="Q55" s="23">
        <v>-205</v>
      </c>
      <c r="R55" s="23">
        <v>-205</v>
      </c>
      <c r="S55" s="23">
        <v>-205</v>
      </c>
      <c r="T55" s="21">
        <f>IF(MAX(BQ55:BS55)&gt;0,MAX(ABS(Q55)*BQ55,ABS(R55)*BR55,ABS(S55)*BS55),0)</f>
        <v>0</v>
      </c>
      <c r="U55" s="21">
        <f>IF(OR(O55=0,T55=0),0,O55+T55)</f>
        <v>0</v>
      </c>
      <c r="V55" s="16">
        <v>315</v>
      </c>
      <c r="W55" s="16"/>
      <c r="X55" s="16"/>
      <c r="Y55" s="21">
        <f>IF(MAX(BV55:BX55)&gt;0,MAX(ABS(V55)*BV55,ABS(W55)*BW55,ABS(X55)*BX55),0)</f>
        <v>0</v>
      </c>
      <c r="Z55" s="21">
        <f ca="1">AU55*IF($AU$7="SQ",O55,IF($AU$7="BP",T55,IF($AU$7="DL",Y55,IF($AU$7="PP",IF(OR(T55=0,Y55=0),0,T55+Y55),IF(OR($U55=0,$Y55=0),0,$O55+$T55+$Y55)))))</f>
        <v>0</v>
      </c>
      <c r="AA55" s="9">
        <f ca="1">IF($E$3="Lb",Z55*H55/2.2046,Z55*H55)</f>
        <v>0</v>
      </c>
      <c r="AB55" s="9" t="e">
        <f ca="1">IF(AND(I55&gt;23,I55&lt;40),0,AA55*J55)</f>
        <v>#N/A</v>
      </c>
      <c r="AC55" s="8" t="e">
        <f ca="1">OFFSET([2]Setup!$F$1,MATCH(D55,[2]Setup!B:B,0)-1,0)</f>
        <v>#VALUE!</v>
      </c>
      <c r="AD55" s="10" t="str">
        <f ca="1">IF(OR(Z55=0,AU55=0),"",CONCATENATE(OFFSET($AZ$7,MATCH(AW55,AX:AX,0)-7,0),"-",D55,IF(AC55&gt;1,"","-"),IF(AC55&gt;1,"",F55),"-",$AU$7))</f>
        <v/>
      </c>
      <c r="AE55" s="7"/>
      <c r="AF55" s="5" t="e">
        <f ca="1">IF(OR(VALUE(LEFT(AD55,1))&gt;5,Z55=0),0,VLOOKUP(VALUE(LEFT(AD55,1)),$CB$1:$CC$5,2))</f>
        <v>#VALUE!</v>
      </c>
      <c r="AG55" s="5" t="e">
        <f ca="1">SUMIF(INDIRECT($AH$6),C55,INDIRECT($AH$5))</f>
        <v>#REF!</v>
      </c>
      <c r="AU55" s="11">
        <f ca="1">IF(ISERROR(FIND($AU$7,AE55)),0,1)</f>
        <v>0</v>
      </c>
      <c r="AV55" s="12">
        <f ca="1">IF(OR(D55="",E55="",AU55=0),0,MATCH(D55,[2]Setup!B:B,0)*10000000+IF(AC55&gt;1,0,((1000-IF(RIGHT(F55)="+",400,F55)))*1000000-E55/10)-BZ55/10000-G55/1000000+IF(AC55=1,Z55,IF(AC55=2,AA55,AB55)))</f>
        <v>0</v>
      </c>
      <c r="AW55" s="11">
        <f ca="1">RANK(AV55,INDIRECT($AV$6))</f>
        <v>1</v>
      </c>
      <c r="AX55" s="13" t="e">
        <f>AX61+1</f>
        <v>#REF!</v>
      </c>
      <c r="AY55" s="13" t="e">
        <f ca="1">CONCATENATE(OFFSET($D$7,MATCH(AX55,AW:AW,0)-7,0),IF(OFFSET($AC$7,MATCH(AX55,AW:AW,0)-7,0)&gt;1,0,OFFSET($F$7,MATCH(AX55,AW:AW,0)-7,0)))</f>
        <v>#REF!</v>
      </c>
      <c r="AZ55" s="13">
        <f ca="1">IF(ISERROR(AY61),1,IF(AY55=AY61,AZ61+1,1))</f>
        <v>1</v>
      </c>
      <c r="BA55" s="5" t="e">
        <f>HLOOKUP($A55,$BA$1:$BH$2,2,FALSE)</f>
        <v>#N/A</v>
      </c>
      <c r="BB55" s="4" t="str">
        <f ca="1">IF(INDIRECT(ADDRESS(ROW(BB55),$BB$4))="","",ABS(INDIRECT(ADDRESS(ROW(BB55),$BB$4)))+0.0001*INDIRECT(ADDRESS(ROW(BB55),7)))</f>
        <v/>
      </c>
      <c r="BL55" s="4">
        <v>1</v>
      </c>
      <c r="BM55" s="4">
        <v>-1</v>
      </c>
      <c r="BN55" s="4">
        <v>0</v>
      </c>
      <c r="BO55" s="5">
        <f>IF(BN55=1,3,IF(BM55=1,2,IF(BL55=1,1,0)))</f>
        <v>1</v>
      </c>
      <c r="BQ55" s="4">
        <v>-1</v>
      </c>
      <c r="BR55" s="4">
        <v>-1</v>
      </c>
      <c r="BS55" s="4">
        <v>-1</v>
      </c>
      <c r="BT55" s="5">
        <f>IF(BS55=1,3,IF(BR55=1,2,IF(BQ55=1,1,0)))</f>
        <v>0</v>
      </c>
      <c r="BV55" s="4">
        <v>0</v>
      </c>
      <c r="BW55" s="4">
        <v>0</v>
      </c>
      <c r="BX55" s="4">
        <v>0</v>
      </c>
      <c r="BY55" s="5">
        <f>IF(BX55=1,3,IF(BW55=1,2,IF(BV55=1,1,0)))</f>
        <v>0</v>
      </c>
      <c r="BZ55" s="5">
        <f ca="1">(CODE(A55)-64)*3+IF($AU$7="SQ",BO55,IF($AU$7="BP",BT55,BY55))</f>
        <v>24</v>
      </c>
    </row>
    <row r="56" spans="1:78" ht="12.75" customHeight="1" x14ac:dyDescent="0.25">
      <c r="A56" s="16"/>
      <c r="B56" s="17"/>
      <c r="C56" s="17"/>
      <c r="D56" s="18"/>
      <c r="E56" s="18"/>
      <c r="F56" s="18"/>
      <c r="G56" s="18"/>
      <c r="H56" s="19"/>
      <c r="I56" s="16"/>
      <c r="J56" s="14"/>
      <c r="K56" s="18"/>
      <c r="L56" s="20"/>
      <c r="M56" s="23"/>
      <c r="N56" s="16"/>
      <c r="O56" s="21"/>
      <c r="P56" s="22"/>
      <c r="Q56" s="23"/>
      <c r="R56" s="23"/>
      <c r="S56" s="23"/>
      <c r="T56" s="21"/>
      <c r="U56" s="21"/>
      <c r="V56" s="16"/>
      <c r="W56" s="16"/>
      <c r="X56" s="16"/>
      <c r="Y56" s="21"/>
      <c r="Z56" s="21"/>
      <c r="AA56" s="9"/>
      <c r="AB56" s="9"/>
      <c r="AC56" s="8"/>
      <c r="AD56" s="10"/>
      <c r="AE56" s="7"/>
      <c r="AF56" s="5"/>
      <c r="AG56" s="5"/>
      <c r="AU56" s="11"/>
      <c r="AV56" s="12"/>
      <c r="AW56" s="11"/>
      <c r="AX56" s="13"/>
      <c r="AY56" s="13"/>
      <c r="AZ56" s="13"/>
      <c r="BA56" s="5"/>
      <c r="BO56" s="5"/>
      <c r="BT56" s="5"/>
      <c r="BY56" s="5"/>
      <c r="BZ56" s="5"/>
    </row>
    <row r="57" spans="1:78" ht="12.75" customHeight="1" x14ac:dyDescent="0.25">
      <c r="A57" s="16" t="s">
        <v>32</v>
      </c>
      <c r="B57" s="17" t="s">
        <v>41</v>
      </c>
      <c r="C57" s="17" t="s">
        <v>72</v>
      </c>
      <c r="D57" s="18" t="s">
        <v>20</v>
      </c>
      <c r="E57" s="18">
        <v>321</v>
      </c>
      <c r="F57" s="18" t="str">
        <f ca="1">VLOOKUP(IF($F$7="WtCls (lb)",E57/2.2046,E57),[2]DATA!$D$3:$H$16,IF(LEFT(D57,1)="M",2,3)+IF(AND(I57,I57&lt;24),2,0),TRUE)</f>
        <v>308+</v>
      </c>
      <c r="G57" s="18">
        <v>6</v>
      </c>
      <c r="H57" s="19" t="e">
        <f ca="1">IF(AND(VALUE(E57)&gt;0,OR(LEFT(D57,1)="M",LEFT(D57,1)="F")),IF(LEFT(D57,1)="M",Wilks_Men(IF(RIGHT($F$7,4)="(lb)",E57/2.2046,E57)),Wilks_Women(IF(RIGHT($F$7,4)="(lb)",E57/2.2046,E57))),0)</f>
        <v>#REF!</v>
      </c>
      <c r="I57" s="16">
        <v>12</v>
      </c>
      <c r="J57" s="14" t="e">
        <f>IF(I57,VLOOKUP(I57,[2]DATA!$A$2:$B$53,2,TRUE),0)</f>
        <v>#N/A</v>
      </c>
      <c r="K57" s="18">
        <v>7</v>
      </c>
      <c r="L57" s="20">
        <v>600</v>
      </c>
      <c r="M57" s="20">
        <v>640</v>
      </c>
      <c r="N57" s="23">
        <v>-680</v>
      </c>
      <c r="O57" s="21">
        <f>IF(MAX(BL57:BN57)&gt;0,MAX(ABS(L57)*BL57,ABS(M57)*BM57,ABS(N57)*BN57),0)</f>
        <v>640</v>
      </c>
      <c r="P57" s="22"/>
      <c r="Q57" s="20">
        <v>285</v>
      </c>
      <c r="R57" s="16"/>
      <c r="S57" s="16"/>
      <c r="T57" s="21">
        <f>IF(MAX(BQ57:BS57)&gt;0,MAX(ABS(Q57)*BQ57,ABS(R57)*BR57,ABS(S57)*BS57),0)</f>
        <v>285</v>
      </c>
      <c r="U57" s="21">
        <f>IF(OR(O57=0,T57=0),0,O57+T57)</f>
        <v>925</v>
      </c>
      <c r="V57" s="20">
        <v>450</v>
      </c>
      <c r="W57" s="20">
        <v>500</v>
      </c>
      <c r="X57" s="23">
        <v>-550</v>
      </c>
      <c r="Y57" s="21">
        <f>IF(MAX(BV57:BX57)&gt;0,MAX(ABS(V57)*BV57,ABS(W57)*BW57,ABS(X57)*BX57),0)</f>
        <v>500</v>
      </c>
      <c r="Z57" s="21">
        <f ca="1">AU57*IF($AU$7="SQ",O57,IF($AU$7="BP",T57,IF($AU$7="DL",Y57,IF($AU$7="PP",IF(OR(T57=0,Y57=0),0,T57+Y57),IF(OR($U57=0,$Y57=0),0,$O57+$T57+$Y57)))))</f>
        <v>0</v>
      </c>
      <c r="AA57" s="9">
        <f ca="1">IF($E$3="Lb",Z57*H57/2.2046,Z57*H57)</f>
        <v>0</v>
      </c>
      <c r="AB57" s="9" t="e">
        <f ca="1">IF(AND(I57&gt;23,I57&lt;40),0,AA57*J57)</f>
        <v>#N/A</v>
      </c>
      <c r="AC57" s="8" t="e">
        <f ca="1">OFFSET([2]Setup!$F$1,MATCH(D57,[2]Setup!B:B,0)-1,0)</f>
        <v>#VALUE!</v>
      </c>
      <c r="AD57" s="10" t="str">
        <f ca="1">IF(OR(Z57=0,AU57=0),"",CONCATENATE(OFFSET($AZ$7,MATCH(AW57,AX:AX,0)-7,0),"-",D57,IF(AC57&gt;1,"","-"),IF(AC57&gt;1,"",F57),"-",$AU$7))</f>
        <v/>
      </c>
      <c r="AE57" s="7"/>
      <c r="AF57" s="5" t="e">
        <f ca="1">IF(OR(VALUE(LEFT(AD57,1))&gt;5,Z57=0),0,VLOOKUP(VALUE(LEFT(AD57,1)),$CB$1:$CC$5,2))</f>
        <v>#VALUE!</v>
      </c>
      <c r="AG57" s="5" t="e">
        <f ca="1">SUMIF(INDIRECT($AH$6),C57,INDIRECT($AH$5))</f>
        <v>#REF!</v>
      </c>
      <c r="AU57" s="11">
        <f ca="1">IF(ISERROR(FIND($AU$7,AE57)),0,1)</f>
        <v>0</v>
      </c>
      <c r="AV57" s="12">
        <f ca="1">IF(OR(D57="",E57="",AU57=0),0,MATCH(D57,[2]Setup!B:B,0)*10000000+IF(AC57&gt;1,0,((1000-IF(RIGHT(F57)="+",400,F57)))*1000000-E57/10)-BZ57/10000-G57/1000000+IF(AC57=1,Z57,IF(AC57=2,AA57,AB57)))</f>
        <v>0</v>
      </c>
      <c r="AW57" s="11">
        <f ca="1">RANK(AV57,INDIRECT($AV$6))</f>
        <v>1</v>
      </c>
      <c r="AX57" s="13" t="e">
        <f>AX54+1</f>
        <v>#REF!</v>
      </c>
      <c r="AY57" s="13" t="e">
        <f ca="1">CONCATENATE(OFFSET($D$7,MATCH(AX57,AW:AW,0)-7,0),IF(OFFSET($AC$7,MATCH(AX57,AW:AW,0)-7,0)&gt;1,0,OFFSET($F$7,MATCH(AX57,AW:AW,0)-7,0)))</f>
        <v>#REF!</v>
      </c>
      <c r="AZ57" s="13">
        <f ca="1">IF(ISERROR(AY54),1,IF(AY57=AY54,AZ54+1,1))</f>
        <v>1</v>
      </c>
      <c r="BA57" s="5" t="e">
        <f>HLOOKUP($A57,$BA$1:$BH$2,2,FALSE)</f>
        <v>#N/A</v>
      </c>
      <c r="BB57" s="4">
        <f ca="1">IF(INDIRECT(ADDRESS(ROW(BB57),$BB$4))="","",ABS(INDIRECT(ADDRESS(ROW(BB57),$BB$4)))+0.0001*INDIRECT(ADDRESS(ROW(BB57),7)))</f>
        <v>550.00059999999996</v>
      </c>
      <c r="BL57" s="4">
        <v>1</v>
      </c>
      <c r="BM57" s="4">
        <v>1</v>
      </c>
      <c r="BN57" s="4">
        <v>-1</v>
      </c>
      <c r="BO57" s="5">
        <f>IF(BN57=1,3,IF(BM57=1,2,IF(BL57=1,1,0)))</f>
        <v>2</v>
      </c>
      <c r="BQ57" s="4">
        <v>1</v>
      </c>
      <c r="BR57" s="4">
        <v>0</v>
      </c>
      <c r="BS57" s="4">
        <v>0</v>
      </c>
      <c r="BT57" s="5">
        <f>IF(BS57=1,3,IF(BR57=1,2,IF(BQ57=1,1,0)))</f>
        <v>1</v>
      </c>
      <c r="BV57" s="4">
        <v>1</v>
      </c>
      <c r="BW57" s="4">
        <v>1</v>
      </c>
      <c r="BX57" s="4">
        <v>-1</v>
      </c>
      <c r="BY57" s="5">
        <f>IF(BX57=1,3,IF(BW57=1,2,IF(BV57=1,1,0)))</f>
        <v>2</v>
      </c>
      <c r="BZ57" s="5">
        <f ca="1">(CODE(A57)-64)*3+IF($AU$7="SQ",BO57,IF($AU$7="BP",BT57,BY57))</f>
        <v>14</v>
      </c>
    </row>
    <row r="58" spans="1:78" ht="12.75" customHeight="1" x14ac:dyDescent="0.25">
      <c r="A58" s="16" t="s">
        <v>32</v>
      </c>
      <c r="B58" s="17" t="s">
        <v>34</v>
      </c>
      <c r="C58" s="17" t="s">
        <v>78</v>
      </c>
      <c r="D58" s="18" t="s">
        <v>20</v>
      </c>
      <c r="E58" s="18">
        <v>312.8</v>
      </c>
      <c r="F58" s="18" t="str">
        <f ca="1">VLOOKUP(IF($F$7="WtCls (lb)",E58/2.2046,E58),[2]DATA!$D$3:$H$16,IF(LEFT(D58,1)="M",2,3)+IF(AND(I58,I58&lt;24),2,0),TRUE)</f>
        <v>308+</v>
      </c>
      <c r="G58" s="18">
        <v>29</v>
      </c>
      <c r="H58" s="19" t="e">
        <f ca="1">IF(AND(VALUE(E58)&gt;0,OR(LEFT(D58,1)="M",LEFT(D58,1)="F")),IF(LEFT(D58,1)="M",Wilks_Men(IF(RIGHT($F$7,4)="(lb)",E58/2.2046,E58)),Wilks_Women(IF(RIGHT($F$7,4)="(lb)",E58/2.2046,E58))),0)</f>
        <v>#REF!</v>
      </c>
      <c r="I58" s="16">
        <v>12</v>
      </c>
      <c r="J58" s="14" t="e">
        <f>IF(I58,VLOOKUP(I58,[2]DATA!$A$2:$B$53,2,TRUE),0)</f>
        <v>#N/A</v>
      </c>
      <c r="K58" s="18">
        <v>9</v>
      </c>
      <c r="L58" s="20">
        <v>350</v>
      </c>
      <c r="M58" s="20">
        <v>415</v>
      </c>
      <c r="N58" s="20">
        <v>460</v>
      </c>
      <c r="O58" s="21">
        <f>IF(MAX(BL58:BN58)&gt;0,MAX(ABS(L58)*BL58,ABS(M58)*BM58,ABS(N58)*BN58),0)</f>
        <v>460</v>
      </c>
      <c r="P58" s="22"/>
      <c r="Q58" s="20">
        <v>250</v>
      </c>
      <c r="R58" s="20">
        <v>280</v>
      </c>
      <c r="S58" s="16"/>
      <c r="T58" s="21">
        <f>IF(MAX(BQ58:BS58)&gt;0,MAX(ABS(Q58)*BQ58,ABS(R58)*BR58,ABS(S58)*BS58),0)</f>
        <v>280</v>
      </c>
      <c r="U58" s="21">
        <f>IF(OR(O58=0,T58=0),0,O58+T58)</f>
        <v>740</v>
      </c>
      <c r="V58" s="20">
        <v>350</v>
      </c>
      <c r="W58" s="20">
        <v>405</v>
      </c>
      <c r="X58" s="16"/>
      <c r="Y58" s="21">
        <f>IF(MAX(BV58:BX58)&gt;0,MAX(ABS(V58)*BV58,ABS(W58)*BW58,ABS(X58)*BX58),0)</f>
        <v>405</v>
      </c>
      <c r="Z58" s="21">
        <f ca="1">AU58*IF($AU$7="SQ",O58,IF($AU$7="BP",T58,IF($AU$7="DL",Y58,IF($AU$7="PP",IF(OR(T58=0,Y58=0),0,T58+Y58),IF(OR($U58=0,$Y58=0),0,$O58+$T58+$Y58)))))</f>
        <v>0</v>
      </c>
      <c r="AA58" s="9">
        <f ca="1">IF($E$3="Lb",Z58*H58/2.2046,Z58*H58)</f>
        <v>0</v>
      </c>
      <c r="AB58" s="9" t="e">
        <f ca="1">IF(AND(I58&gt;23,I58&lt;40),0,AA58*J58)</f>
        <v>#N/A</v>
      </c>
      <c r="AC58" s="8" t="e">
        <f ca="1">OFFSET([2]Setup!$F$1,MATCH(D58,[2]Setup!B:B,0)-1,0)</f>
        <v>#VALUE!</v>
      </c>
      <c r="AD58" s="10" t="str">
        <f ca="1">IF(OR(Z58=0,AU58=0),"",CONCATENATE(OFFSET($AZ$7,MATCH(AW58,AX:AX,0)-7,0),"-",D58,IF(AC58&gt;1,"","-"),IF(AC58&gt;1,"",F58),"-",$AU$7))</f>
        <v/>
      </c>
      <c r="AE58" s="7"/>
      <c r="AF58" s="5" t="e">
        <f ca="1">IF(OR(VALUE(LEFT(AD58,1))&gt;5,Z58=0),0,VLOOKUP(VALUE(LEFT(AD58,1)),$CB$1:$CC$5,2))</f>
        <v>#VALUE!</v>
      </c>
      <c r="AG58" s="5" t="e">
        <f ca="1">SUMIF(INDIRECT($AH$6),C58,INDIRECT($AH$5))</f>
        <v>#REF!</v>
      </c>
      <c r="AU58" s="11">
        <f ca="1">IF(ISERROR(FIND($AU$7,AE58)),0,1)</f>
        <v>0</v>
      </c>
      <c r="AV58" s="12">
        <f ca="1">IF(OR(D58="",E58="",AU58=0),0,MATCH(D58,[2]Setup!B:B,0)*10000000+IF(AC58&gt;1,0,((1000-IF(RIGHT(F58)="+",400,F58)))*1000000-E58/10)-BZ58/10000-G58/1000000+IF(AC58=1,Z58,IF(AC58=2,AA58,AB58)))</f>
        <v>0</v>
      </c>
      <c r="AW58" s="11">
        <f ca="1">RANK(AV58,INDIRECT($AV$6))</f>
        <v>1</v>
      </c>
      <c r="AX58" s="13" t="e">
        <f>AX57+1</f>
        <v>#REF!</v>
      </c>
      <c r="AY58" s="13" t="e">
        <f ca="1">CONCATENATE(OFFSET($D$7,MATCH(AX58,AW:AW,0)-7,0),IF(OFFSET($AC$7,MATCH(AX58,AW:AW,0)-7,0)&gt;1,0,OFFSET($F$7,MATCH(AX58,AW:AW,0)-7,0)))</f>
        <v>#REF!</v>
      </c>
      <c r="AZ58" s="13">
        <f ca="1">IF(ISERROR(AY57),1,IF(AY58=AY57,AZ57+1,1))</f>
        <v>1</v>
      </c>
      <c r="BA58" s="5" t="e">
        <f>HLOOKUP($A58,$BA$1:$BH$2,2,FALSE)</f>
        <v>#N/A</v>
      </c>
      <c r="BB58" s="4" t="str">
        <f ca="1">IF(INDIRECT(ADDRESS(ROW(BB58),$BB$4))="","",ABS(INDIRECT(ADDRESS(ROW(BB58),$BB$4)))+0.0001*INDIRECT(ADDRESS(ROW(BB58),7)))</f>
        <v/>
      </c>
      <c r="BL58" s="4">
        <v>1</v>
      </c>
      <c r="BM58" s="4">
        <v>1</v>
      </c>
      <c r="BN58" s="4">
        <v>1</v>
      </c>
      <c r="BO58" s="5">
        <f>IF(BN58=1,3,IF(BM58=1,2,IF(BL58=1,1,0)))</f>
        <v>3</v>
      </c>
      <c r="BQ58" s="4">
        <v>1</v>
      </c>
      <c r="BR58" s="4">
        <v>1</v>
      </c>
      <c r="BS58" s="4">
        <v>0</v>
      </c>
      <c r="BT58" s="5">
        <f>IF(BS58=1,3,IF(BR58=1,2,IF(BQ58=1,1,0)))</f>
        <v>2</v>
      </c>
      <c r="BV58" s="4">
        <v>1</v>
      </c>
      <c r="BW58" s="4">
        <v>1</v>
      </c>
      <c r="BX58" s="4">
        <v>0</v>
      </c>
      <c r="BY58" s="5">
        <f>IF(BX58=1,3,IF(BW58=1,2,IF(BV58=1,1,0)))</f>
        <v>2</v>
      </c>
      <c r="BZ58" s="5">
        <f ca="1">(CODE(A58)-64)*3+IF($AU$7="SQ",BO58,IF($AU$7="BP",BT58,BY58))</f>
        <v>14</v>
      </c>
    </row>
    <row r="59" spans="1:78" ht="12.75" customHeight="1" x14ac:dyDescent="0.25">
      <c r="A59" s="16" t="s">
        <v>32</v>
      </c>
      <c r="B59" s="17" t="s">
        <v>37</v>
      </c>
      <c r="C59" s="17" t="s">
        <v>78</v>
      </c>
      <c r="D59" s="18" t="s">
        <v>20</v>
      </c>
      <c r="E59" s="18">
        <v>352</v>
      </c>
      <c r="F59" s="18" t="str">
        <f ca="1">VLOOKUP(IF($F$7="WtCls (lb)",E59/2.2046,E59),[2]DATA!$D$3:$H$16,IF(LEFT(D59,1)="M",2,3)+IF(AND(I59,I59&lt;24),2,0),TRUE)</f>
        <v>308+</v>
      </c>
      <c r="G59" s="18">
        <v>14</v>
      </c>
      <c r="H59" s="19" t="e">
        <f ca="1">IF(AND(VALUE(E59)&gt;0,OR(LEFT(D59,1)="M",LEFT(D59,1)="F")),IF(LEFT(D59,1)="M",Wilks_Men(IF(RIGHT($F$7,4)="(lb)",E59/2.2046,E59)),Wilks_Women(IF(RIGHT($F$7,4)="(lb)",E59/2.2046,E59))),0)</f>
        <v>#REF!</v>
      </c>
      <c r="I59" s="16">
        <v>9</v>
      </c>
      <c r="J59" s="14" t="e">
        <f>IF(I59,VLOOKUP(I59,[2]DATA!$A$2:$B$53,2,TRUE),0)</f>
        <v>#N/A</v>
      </c>
      <c r="K59" s="18">
        <v>9</v>
      </c>
      <c r="L59" s="20">
        <v>335</v>
      </c>
      <c r="M59" s="20">
        <v>350</v>
      </c>
      <c r="N59" s="16"/>
      <c r="O59" s="21">
        <f>IF(MAX(BL59:BN59)&gt;0,MAX(ABS(L59)*BL59,ABS(M59)*BM59,ABS(N59)*BN59),0)</f>
        <v>350</v>
      </c>
      <c r="P59" s="22"/>
      <c r="Q59" s="20">
        <v>185</v>
      </c>
      <c r="R59" s="20">
        <v>205</v>
      </c>
      <c r="S59" s="16"/>
      <c r="T59" s="21">
        <f>IF(MAX(BQ59:BS59)&gt;0,MAX(ABS(Q59)*BQ59,ABS(R59)*BR59,ABS(S59)*BS59),0)</f>
        <v>205</v>
      </c>
      <c r="U59" s="21">
        <f>IF(OR(O59=0,T59=0),0,O59+T59)</f>
        <v>555</v>
      </c>
      <c r="V59" s="20">
        <v>405</v>
      </c>
      <c r="W59" s="20">
        <v>435</v>
      </c>
      <c r="X59" s="20">
        <v>455</v>
      </c>
      <c r="Y59" s="21">
        <f>IF(MAX(BV59:BX59)&gt;0,MAX(ABS(V59)*BV59,ABS(W59)*BW59,ABS(X59)*BX59),0)</f>
        <v>455</v>
      </c>
      <c r="Z59" s="21">
        <f ca="1">AU59*IF($AU$7="SQ",O59,IF($AU$7="BP",T59,IF($AU$7="DL",Y59,IF($AU$7="PP",IF(OR(T59=0,Y59=0),0,T59+Y59),IF(OR($U59=0,$Y59=0),0,$O59+$T59+$Y59)))))</f>
        <v>0</v>
      </c>
      <c r="AA59" s="9">
        <f ca="1">IF($E$3="Lb",Z59*H59/2.2046,Z59*H59)</f>
        <v>0</v>
      </c>
      <c r="AB59" s="9" t="e">
        <f ca="1">IF(AND(I59&gt;23,I59&lt;40),0,AA59*J59)</f>
        <v>#N/A</v>
      </c>
      <c r="AC59" s="8" t="e">
        <f ca="1">OFFSET([2]Setup!$F$1,MATCH(D59,[2]Setup!B:B,0)-1,0)</f>
        <v>#VALUE!</v>
      </c>
      <c r="AD59" s="10" t="str">
        <f ca="1">IF(OR(Z59=0,AU59=0),"",CONCATENATE(OFFSET($AZ$7,MATCH(AW59,AX:AX,0)-7,0),"-",D59,IF(AC59&gt;1,"","-"),IF(AC59&gt;1,"",F59),"-",$AU$7))</f>
        <v/>
      </c>
      <c r="AE59" s="7"/>
      <c r="AF59" s="5" t="e">
        <f ca="1">IF(OR(VALUE(LEFT(AD59,1))&gt;5,Z59=0),0,VLOOKUP(VALUE(LEFT(AD59,1)),$CB$1:$CC$5,2))</f>
        <v>#VALUE!</v>
      </c>
      <c r="AG59" s="5" t="e">
        <f ca="1">SUMIF(INDIRECT($AH$6),C59,INDIRECT($AH$5))</f>
        <v>#REF!</v>
      </c>
      <c r="AU59" s="11">
        <f ca="1">IF(ISERROR(FIND($AU$7,AE59)),0,1)</f>
        <v>0</v>
      </c>
      <c r="AV59" s="12">
        <f ca="1">IF(OR(D59="",E59="",AU59=0),0,MATCH(D59,[2]Setup!B:B,0)*10000000+IF(AC59&gt;1,0,((1000-IF(RIGHT(F59)="+",400,F59)))*1000000-E59/10)-BZ59/10000-G59/1000000+IF(AC59=1,Z59,IF(AC59=2,AA59,AB59)))</f>
        <v>0</v>
      </c>
      <c r="AW59" s="11">
        <f ca="1">RANK(AV59,INDIRECT($AV$6))</f>
        <v>1</v>
      </c>
      <c r="AX59" s="13" t="e">
        <f>AX58+1</f>
        <v>#REF!</v>
      </c>
      <c r="AY59" s="13" t="e">
        <f ca="1">CONCATENATE(OFFSET($D$7,MATCH(AX59,AW:AW,0)-7,0),IF(OFFSET($AC$7,MATCH(AX59,AW:AW,0)-7,0)&gt;1,0,OFFSET($F$7,MATCH(AX59,AW:AW,0)-7,0)))</f>
        <v>#REF!</v>
      </c>
      <c r="AZ59" s="13">
        <f ca="1">IF(ISERROR(AY58),1,IF(AY59=AY58,AZ58+1,1))</f>
        <v>1</v>
      </c>
      <c r="BA59" s="5" t="e">
        <f>HLOOKUP($A59,$BA$1:$BH$2,2,FALSE)</f>
        <v>#N/A</v>
      </c>
      <c r="BB59" s="4">
        <f ca="1">IF(INDIRECT(ADDRESS(ROW(BB59),$BB$4))="","",ABS(INDIRECT(ADDRESS(ROW(BB59),$BB$4)))+0.0001*INDIRECT(ADDRESS(ROW(BB59),7)))</f>
        <v>455.00139999999999</v>
      </c>
      <c r="BL59" s="4">
        <v>1</v>
      </c>
      <c r="BM59" s="4">
        <v>1</v>
      </c>
      <c r="BN59" s="4">
        <v>0</v>
      </c>
      <c r="BO59" s="5">
        <f>IF(BN59=1,3,IF(BM59=1,2,IF(BL59=1,1,0)))</f>
        <v>2</v>
      </c>
      <c r="BQ59" s="4">
        <v>1</v>
      </c>
      <c r="BR59" s="4">
        <v>1</v>
      </c>
      <c r="BS59" s="4">
        <v>0</v>
      </c>
      <c r="BT59" s="5">
        <f>IF(BS59=1,3,IF(BR59=1,2,IF(BQ59=1,1,0)))</f>
        <v>2</v>
      </c>
      <c r="BV59" s="4">
        <v>1</v>
      </c>
      <c r="BW59" s="4">
        <v>1</v>
      </c>
      <c r="BX59" s="4">
        <v>1</v>
      </c>
      <c r="BY59" s="5">
        <f>IF(BX59=1,3,IF(BW59=1,2,IF(BV59=1,1,0)))</f>
        <v>3</v>
      </c>
      <c r="BZ59" s="5">
        <f ca="1">(CODE(A59)-64)*3+IF($AU$7="SQ",BO59,IF($AU$7="BP",BT59,BY59))</f>
        <v>15</v>
      </c>
    </row>
    <row r="60" spans="1:78" ht="12.75" customHeight="1" x14ac:dyDescent="0.25">
      <c r="A60" s="16" t="s">
        <v>48</v>
      </c>
      <c r="B60" s="17" t="s">
        <v>42</v>
      </c>
      <c r="C60" s="17" t="s">
        <v>77</v>
      </c>
      <c r="D60" s="18" t="s">
        <v>20</v>
      </c>
      <c r="E60" s="18">
        <v>368.4</v>
      </c>
      <c r="F60" s="18" t="str">
        <f ca="1">VLOOKUP(IF($F$7="WtCls (lb)",E60/2.2046,E60),[2]DATA!$D$3:$H$16,IF(LEFT(D60,1)="M",2,3)+IF(AND(I60,I60&lt;24),2,0),TRUE)</f>
        <v>308+</v>
      </c>
      <c r="G60" s="18">
        <v>10</v>
      </c>
      <c r="H60" s="19" t="e">
        <f ca="1">IF(AND(VALUE(E60)&gt;0,OR(LEFT(D60,1)="M",LEFT(D60,1)="F")),IF(LEFT(D60,1)="M",Wilks_Men(IF(RIGHT($F$7,4)="(lb)",E60/2.2046,E60)),Wilks_Women(IF(RIGHT($F$7,4)="(lb)",E60/2.2046,E60))),0)</f>
        <v>#REF!</v>
      </c>
      <c r="I60" s="16">
        <v>11</v>
      </c>
      <c r="J60" s="14" t="e">
        <f>IF(I60,VLOOKUP(I60,[2]DATA!$A$2:$B$53,2,TRUE),0)</f>
        <v>#N/A</v>
      </c>
      <c r="K60" s="18">
        <v>9</v>
      </c>
      <c r="L60" s="23">
        <v>-435</v>
      </c>
      <c r="M60" s="23">
        <v>-435</v>
      </c>
      <c r="N60" s="23">
        <v>-435</v>
      </c>
      <c r="O60" s="21">
        <f>IF(MAX(BL60:BN60)&gt;0,MAX(ABS(L60)*BL60,ABS(M60)*BM60,ABS(N60)*BN60),0)</f>
        <v>0</v>
      </c>
      <c r="P60" s="22"/>
      <c r="Q60" s="16">
        <v>285</v>
      </c>
      <c r="R60" s="16"/>
      <c r="S60" s="16"/>
      <c r="T60" s="21">
        <f>IF(MAX(BQ60:BS60)&gt;0,MAX(ABS(Q60)*BQ60,ABS(R60)*BR60,ABS(S60)*BS60),0)</f>
        <v>0</v>
      </c>
      <c r="U60" s="21">
        <f>IF(OR(O60=0,T60=0),0,O60+T60)</f>
        <v>0</v>
      </c>
      <c r="V60" s="16">
        <v>450</v>
      </c>
      <c r="W60" s="16"/>
      <c r="X60" s="16"/>
      <c r="Y60" s="21">
        <f>IF(MAX(BV60:BX60)&gt;0,MAX(ABS(V60)*BV60,ABS(W60)*BW60,ABS(X60)*BX60),0)</f>
        <v>0</v>
      </c>
      <c r="Z60" s="21">
        <f ca="1">AU60*IF($AU$7="SQ",O60,IF($AU$7="BP",T60,IF($AU$7="DL",Y60,IF($AU$7="PP",IF(OR(T60=0,Y60=0),0,T60+Y60),IF(OR($U60=0,$Y60=0),0,$O60+$T60+$Y60)))))</f>
        <v>0</v>
      </c>
      <c r="AA60" s="9">
        <f ca="1">IF($E$3="Lb",Z60*H60/2.2046,Z60*H60)</f>
        <v>0</v>
      </c>
      <c r="AB60" s="9" t="e">
        <f ca="1">IF(AND(I60&gt;23,I60&lt;40),0,AA60*J60)</f>
        <v>#N/A</v>
      </c>
      <c r="AC60" s="8" t="e">
        <f ca="1">OFFSET([2]Setup!$F$1,MATCH(D60,[2]Setup!B:B,0)-1,0)</f>
        <v>#VALUE!</v>
      </c>
      <c r="AD60" s="10" t="str">
        <f ca="1">IF(OR(Z60=0,AU60=0),"",CONCATENATE(OFFSET($AZ$7,MATCH(AW60,AX:AX,0)-7,0),"-",D60,IF(AC60&gt;1,"","-"),IF(AC60&gt;1,"",F60),"-",$AU$7))</f>
        <v/>
      </c>
      <c r="AE60" s="7"/>
      <c r="AF60" s="5" t="e">
        <f ca="1">IF(OR(VALUE(LEFT(AD60,1))&gt;5,Z60=0),0,VLOOKUP(VALUE(LEFT(AD60,1)),$CB$1:$CC$5,2))</f>
        <v>#VALUE!</v>
      </c>
      <c r="AG60" s="5" t="e">
        <f ca="1">SUMIF(INDIRECT($AH$6),C60,INDIRECT($AH$5))</f>
        <v>#REF!</v>
      </c>
      <c r="AU60" s="11">
        <f ca="1">IF(ISERROR(FIND($AU$7,AE60)),0,1)</f>
        <v>0</v>
      </c>
      <c r="AV60" s="12">
        <f ca="1">IF(OR(D60="",E60="",AU60=0),0,MATCH(D60,[2]Setup!B:B,0)*10000000+IF(AC60&gt;1,0,((1000-IF(RIGHT(F60)="+",400,F60)))*1000000-E60/10)-BZ60/10000-G60/1000000+IF(AC60=1,Z60,IF(AC60=2,AA60,AB60)))</f>
        <v>0</v>
      </c>
      <c r="AW60" s="11">
        <f ca="1">RANK(AV60,INDIRECT($AV$6))</f>
        <v>1</v>
      </c>
      <c r="AX60" s="13" t="e">
        <f>AX55+1</f>
        <v>#REF!</v>
      </c>
      <c r="AY60" s="13" t="e">
        <f ca="1">CONCATENATE(OFFSET($D$7,MATCH(AX60,AW:AW,0)-7,0),IF(OFFSET($AC$7,MATCH(AX60,AW:AW,0)-7,0)&gt;1,0,OFFSET($F$7,MATCH(AX60,AW:AW,0)-7,0)))</f>
        <v>#REF!</v>
      </c>
      <c r="AZ60" s="13">
        <f ca="1">IF(ISERROR(AY55),1,IF(AY60=AY55,AZ55+1,1))</f>
        <v>1</v>
      </c>
      <c r="BA60" s="5" t="e">
        <f>HLOOKUP($A60,$BA$1:$BH$2,2,FALSE)</f>
        <v>#N/A</v>
      </c>
      <c r="BB60" s="4" t="str">
        <f ca="1">IF(INDIRECT(ADDRESS(ROW(BB60),$BB$4))="","",ABS(INDIRECT(ADDRESS(ROW(BB60),$BB$4)))+0.0001*INDIRECT(ADDRESS(ROW(BB60),7)))</f>
        <v/>
      </c>
      <c r="BL60" s="4">
        <v>-1</v>
      </c>
      <c r="BM60" s="4">
        <v>-1</v>
      </c>
      <c r="BN60" s="4">
        <v>-1</v>
      </c>
      <c r="BO60" s="5">
        <f>IF(BN60=1,3,IF(BM60=1,2,IF(BL60=1,1,0)))</f>
        <v>0</v>
      </c>
      <c r="BQ60" s="4">
        <v>0</v>
      </c>
      <c r="BR60" s="4">
        <v>0</v>
      </c>
      <c r="BS60" s="4">
        <v>0</v>
      </c>
      <c r="BT60" s="5">
        <f>IF(BS60=1,3,IF(BR60=1,2,IF(BQ60=1,1,0)))</f>
        <v>0</v>
      </c>
      <c r="BV60" s="4">
        <v>0</v>
      </c>
      <c r="BW60" s="4">
        <v>0</v>
      </c>
      <c r="BX60" s="4">
        <v>0</v>
      </c>
      <c r="BY60" s="5">
        <f>IF(BX60=1,3,IF(BW60=1,2,IF(BV60=1,1,0)))</f>
        <v>0</v>
      </c>
      <c r="BZ60" s="5">
        <f ca="1">(CODE(A60)-64)*3+IF($AU$7="SQ",BO60,IF($AU$7="BP",BT60,BY60))</f>
        <v>24</v>
      </c>
    </row>
    <row r="61" spans="1:78" ht="12.75" customHeight="1" x14ac:dyDescent="0.25">
      <c r="A61" s="16" t="s">
        <v>48</v>
      </c>
      <c r="B61" s="17" t="s">
        <v>49</v>
      </c>
      <c r="C61" s="17" t="s">
        <v>75</v>
      </c>
      <c r="D61" s="18" t="s">
        <v>20</v>
      </c>
      <c r="E61" s="18">
        <v>149.4</v>
      </c>
      <c r="F61" s="18">
        <f ca="1">VLOOKUP(IF($F$7="WtCls (lb)",E61/2.2046,E61),[2]DATA!$D$3:$H$16,IF(LEFT(D61,1)="M",2,3)+IF(AND(I61,I61&lt;24),2,0),TRUE)</f>
        <v>165</v>
      </c>
      <c r="G61" s="18">
        <v>68</v>
      </c>
      <c r="H61" s="19" t="e">
        <f ca="1">IF(AND(VALUE(E61)&gt;0,OR(LEFT(D61,1)="M",LEFT(D61,1)="F")),IF(LEFT(D61,1)="M",Wilks_Men(IF(RIGHT($F$7,4)="(lb)",E61/2.2046,E61)),Wilks_Women(IF(RIGHT($F$7,4)="(lb)",E61/2.2046,E61))),0)</f>
        <v>#REF!</v>
      </c>
      <c r="I61" s="16">
        <v>10</v>
      </c>
      <c r="J61" s="14" t="e">
        <f>IF(I61,VLOOKUP(I61,[2]DATA!$A$2:$B$53,2,TRUE),0)</f>
        <v>#N/A</v>
      </c>
      <c r="K61" s="18">
        <v>3</v>
      </c>
      <c r="L61" s="16">
        <v>135</v>
      </c>
      <c r="M61" s="16"/>
      <c r="N61" s="16"/>
      <c r="O61" s="21">
        <f>IF(MAX(BL61:BN61)&gt;0,MAX(ABS(L61)*BL61,ABS(M61)*BM61,ABS(N61)*BN61),0)</f>
        <v>0</v>
      </c>
      <c r="P61" s="22"/>
      <c r="Q61" s="16">
        <v>185</v>
      </c>
      <c r="R61" s="16"/>
      <c r="S61" s="16"/>
      <c r="T61" s="21">
        <f>IF(MAX(BQ61:BS61)&gt;0,MAX(ABS(Q61)*BQ61,ABS(R61)*BR61,ABS(S61)*BS61),0)</f>
        <v>0</v>
      </c>
      <c r="U61" s="21">
        <f>IF(OR(O61=0,T61=0),0,O61+T61)</f>
        <v>0</v>
      </c>
      <c r="V61" s="16">
        <v>135</v>
      </c>
      <c r="W61" s="16"/>
      <c r="X61" s="16"/>
      <c r="Y61" s="21">
        <f>IF(MAX(BV61:BX61)&gt;0,MAX(ABS(V61)*BV61,ABS(W61)*BW61,ABS(X61)*BX61),0)</f>
        <v>0</v>
      </c>
      <c r="Z61" s="21">
        <f ca="1">AU61*IF($AU$7="SQ",O61,IF($AU$7="BP",T61,IF($AU$7="DL",Y61,IF($AU$7="PP",IF(OR(T61=0,Y61=0),0,T61+Y61),IF(OR($U61=0,$Y61=0),0,$O61+$T61+$Y61)))))</f>
        <v>0</v>
      </c>
      <c r="AA61" s="9">
        <f ca="1">IF($E$3="Lb",Z61*H61/2.2046,Z61*H61)</f>
        <v>0</v>
      </c>
      <c r="AB61" s="9" t="e">
        <f ca="1">IF(AND(I61&gt;23,I61&lt;40),0,AA61*J61)</f>
        <v>#N/A</v>
      </c>
      <c r="AC61" s="8" t="e">
        <f ca="1">OFFSET([2]Setup!$F$1,MATCH(D61,[2]Setup!B:B,0)-1,0)</f>
        <v>#VALUE!</v>
      </c>
      <c r="AD61" s="10" t="str">
        <f ca="1">IF(OR(Z61=0,AU61=0),"",CONCATENATE(OFFSET($AZ$7,MATCH(AW61,AX:AX,0)-7,0),"-",D61,IF(AC61&gt;1,"","-"),IF(AC61&gt;1,"",F61),"-",$AU$7))</f>
        <v/>
      </c>
      <c r="AE61" s="7"/>
      <c r="AF61" s="5" t="e">
        <f ca="1">IF(OR(VALUE(LEFT(AD61,1))&gt;5,Z61=0),0,VLOOKUP(VALUE(LEFT(AD61,1)),$CB$1:$CC$5,2))</f>
        <v>#VALUE!</v>
      </c>
      <c r="AG61" s="5" t="e">
        <f ca="1">SUMIF(INDIRECT($AH$6),C61,INDIRECT($AH$5))</f>
        <v>#REF!</v>
      </c>
      <c r="AU61" s="11">
        <f ca="1">IF(ISERROR(FIND($AU$7,AE61)),0,1)</f>
        <v>0</v>
      </c>
      <c r="AV61" s="12">
        <f ca="1">IF(OR(D61="",E61="",AU61=0),0,MATCH(D61,[2]Setup!B:B,0)*10000000+IF(AC61&gt;1,0,((1000-IF(RIGHT(F61)="+",400,F61)))*1000000-E61/10)-BZ61/10000-G61/1000000+IF(AC61=1,Z61,IF(AC61=2,AA61,AB61)))</f>
        <v>0</v>
      </c>
      <c r="AW61" s="11">
        <f ca="1">RANK(AV61,INDIRECT($AV$6))</f>
        <v>1</v>
      </c>
      <c r="AX61" s="13" t="e">
        <f>AX59+1</f>
        <v>#REF!</v>
      </c>
      <c r="AY61" s="13" t="e">
        <f ca="1">CONCATENATE(OFFSET($D$7,MATCH(AX61,AW:AW,0)-7,0),IF(OFFSET($AC$7,MATCH(AX61,AW:AW,0)-7,0)&gt;1,0,OFFSET($F$7,MATCH(AX61,AW:AW,0)-7,0)))</f>
        <v>#REF!</v>
      </c>
      <c r="AZ61" s="13">
        <f ca="1">IF(ISERROR(AY59),1,IF(AY61=AY59,AZ59+1,1))</f>
        <v>1</v>
      </c>
      <c r="BA61" s="5" t="e">
        <f>HLOOKUP($A61,$BA$1:$BH$2,2,FALSE)</f>
        <v>#N/A</v>
      </c>
      <c r="BB61" s="4" t="str">
        <f ca="1">IF(INDIRECT(ADDRESS(ROW(BB61),$BB$4))="","",ABS(INDIRECT(ADDRESS(ROW(BB61),$BB$4)))+0.0001*INDIRECT(ADDRESS(ROW(BB61),7)))</f>
        <v/>
      </c>
      <c r="BL61" s="4">
        <v>0</v>
      </c>
      <c r="BM61" s="4">
        <v>0</v>
      </c>
      <c r="BN61" s="4">
        <v>0</v>
      </c>
      <c r="BO61" s="5">
        <f>IF(BN61=1,3,IF(BM61=1,2,IF(BL61=1,1,0)))</f>
        <v>0</v>
      </c>
      <c r="BQ61" s="4">
        <v>0</v>
      </c>
      <c r="BR61" s="4">
        <v>0</v>
      </c>
      <c r="BS61" s="4">
        <v>0</v>
      </c>
      <c r="BT61" s="5">
        <f>IF(BS61=1,3,IF(BR61=1,2,IF(BQ61=1,1,0)))</f>
        <v>0</v>
      </c>
      <c r="BV61" s="4">
        <v>0</v>
      </c>
      <c r="BW61" s="4">
        <v>0</v>
      </c>
      <c r="BX61" s="4">
        <v>0</v>
      </c>
      <c r="BY61" s="5">
        <f>IF(BX61=1,3,IF(BW61=1,2,IF(BV61=1,1,0)))</f>
        <v>0</v>
      </c>
      <c r="BZ61" s="5">
        <f ca="1">(CODE(A61)-64)*3+IF($AU$7="SQ",BO61,IF($AU$7="BP",BT61,BY61))</f>
        <v>24</v>
      </c>
    </row>
  </sheetData>
  <sortState xmlns:xlrd2="http://schemas.microsoft.com/office/spreadsheetml/2017/richdata2" ref="A4:DG42">
    <sortCondition ref="F4:F42"/>
    <sortCondition descending="1" ref="Z4:Z42"/>
  </sortState>
  <conditionalFormatting sqref="V4:X20 L4:N20 Q4:S20 L24:N24 Q24:S24 L28:N61 Q28:S61 V24:X24 V28:X61">
    <cfRule type="expression" dxfId="23" priority="23" stopIfTrue="1">
      <formula>AND(BL4=0,COLUMN(L4)=$BD$4,ROW(L4)=$AY$5)</formula>
    </cfRule>
    <cfRule type="expression" dxfId="22" priority="24" stopIfTrue="1">
      <formula>OR(AND(BL4=1,COLUMN(L4)&lt;=$BD$4,ROW(L4)=$AY$5),AND(BL4=1,COLUMN(L4)=$BD$4,ROW(L4)&lt;=$AY$5))</formula>
    </cfRule>
    <cfRule type="expression" dxfId="21" priority="25" stopIfTrue="1">
      <formula>OR(AND(BL4=-1,COLUMN(L4)&lt;=$BD$4,ROW(L4)=$AY$5),AND(BL4=-1,COLUMN(L4)=$BD$4,ROW(L4)&lt;=$AY$5))</formula>
    </cfRule>
  </conditionalFormatting>
  <conditionalFormatting sqref="Z4:Z61">
    <cfRule type="expression" dxfId="20" priority="26" stopIfTrue="1">
      <formula>AND(ROW(Z4)=$AY$5)</formula>
    </cfRule>
    <cfRule type="expression" dxfId="19" priority="27" stopIfTrue="1">
      <formula>AND(AC4=1)</formula>
    </cfRule>
  </conditionalFormatting>
  <conditionalFormatting sqref="AD4:AD20 AD28:AD61">
    <cfRule type="expression" dxfId="18" priority="28" stopIfTrue="1">
      <formula>OR(AND(D4=$C$2,F4=$E$2,AC4=1,AD4&lt;&gt;""),AND(AD4&lt;&gt;"",D4=$C$2,OR(AC4=2,AC4=3)))</formula>
    </cfRule>
  </conditionalFormatting>
  <conditionalFormatting sqref="A4:A61">
    <cfRule type="expression" dxfId="17" priority="29" stopIfTrue="1">
      <formula>AND(A4=RIGHT($A$7,1))</formula>
    </cfRule>
  </conditionalFormatting>
  <conditionalFormatting sqref="B4:B61">
    <cfRule type="cellIs" dxfId="16" priority="30" stopIfTrue="1" operator="equal">
      <formula>$A$1</formula>
    </cfRule>
  </conditionalFormatting>
  <conditionalFormatting sqref="Y4:Y20 K4:K20 T4:U19 C4:G20 I21:I23 C21:C23 I25:I27 C25:C27 O4:O20 Q21:Q23 W21:Y23 T20 K24 C24:D24 E21:G27 C28:G61 K28:K61 Y24:Y61 T24 T28:U61 W25:Y27 O28:O61 Q25:Q27 O24 U20:U27">
    <cfRule type="expression" dxfId="15" priority="31" stopIfTrue="1">
      <formula>AND(ROW(C4)=$AY$5)</formula>
    </cfRule>
  </conditionalFormatting>
  <conditionalFormatting sqref="AA4:AA61">
    <cfRule type="expression" dxfId="14" priority="32" stopIfTrue="1">
      <formula>AND($AC4=2)</formula>
    </cfRule>
  </conditionalFormatting>
  <conditionalFormatting sqref="AB4:AB61">
    <cfRule type="expression" dxfId="13" priority="33" stopIfTrue="1">
      <formula>AND($AC4=3)</formula>
    </cfRule>
  </conditionalFormatting>
  <conditionalFormatting sqref="AD21:AD27">
    <cfRule type="expression" dxfId="12" priority="37" stopIfTrue="1">
      <formula>OR(AND(E21=$C$2,F21=$E$2,AC21=1,AD21&lt;&gt;""),AND(AD21&lt;&gt;"",E21=$C$2,OR(AC21=2,AC21=3)))</formula>
    </cfRule>
  </conditionalFormatting>
  <conditionalFormatting sqref="Y25:Z27 V25:V27">
    <cfRule type="expression" dxfId="11" priority="41" stopIfTrue="1">
      <formula>AND(BN25=0,COLUMN(V25)=$BD$4,ROW(V25)=$AY$5)</formula>
    </cfRule>
    <cfRule type="expression" dxfId="10" priority="42" stopIfTrue="1">
      <formula>OR(AND(BN25=1,COLUMN(V25)&lt;=$BD$4,ROW(V25)=$AY$5),AND(BN25=1,COLUMN(V25)=$BD$4,ROW(V25)&lt;=$AY$5))</formula>
    </cfRule>
    <cfRule type="expression" dxfId="9" priority="43" stopIfTrue="1">
      <formula>OR(AND(BN25=-1,COLUMN(V25)&lt;=$BD$4,ROW(V25)=$AY$5),AND(BN25=-1,COLUMN(V25)=$BD$4,ROW(V25)&lt;=$AY$5))</formula>
    </cfRule>
  </conditionalFormatting>
  <conditionalFormatting sqref="Z21:Z23 Z25:Z27 P25:Q27">
    <cfRule type="expression" dxfId="8" priority="49" stopIfTrue="1">
      <formula>AND(BL21=0,COLUMN(P21)=$BD$4,ROW(P21)=$AY$5)</formula>
    </cfRule>
    <cfRule type="expression" dxfId="7" priority="50" stopIfTrue="1">
      <formula>OR(AND(BL21=1,COLUMN(P21)&lt;=$BD$4,ROW(P21)=$AY$5),AND(BL21=1,COLUMN(P21)=$BD$4,ROW(P21)&lt;=$AY$5))</formula>
    </cfRule>
    <cfRule type="expression" dxfId="6" priority="51" stopIfTrue="1">
      <formula>OR(AND(BL21=-1,COLUMN(P21)&lt;=$BD$4,ROW(P21)=$AY$5),AND(BL21=-1,COLUMN(P21)=$BD$4,ROW(P21)&lt;=$AY$5))</formula>
    </cfRule>
  </conditionalFormatting>
  <conditionalFormatting sqref="Y21:Z23 V21:V23">
    <cfRule type="expression" dxfId="5" priority="55" stopIfTrue="1">
      <formula>AND(BN21=0,COLUMN(V21)=$BD$4,ROW(V21)=$AY$5)</formula>
    </cfRule>
    <cfRule type="expression" dxfId="4" priority="56" stopIfTrue="1">
      <formula>OR(AND(BN21=1,COLUMN(V21)&lt;=$BD$4,ROW(V21)=$AY$5),AND(BN21=1,COLUMN(V21)=$BD$4,ROW(V21)&lt;=$AY$5))</formula>
    </cfRule>
    <cfRule type="expression" dxfId="3" priority="57" stopIfTrue="1">
      <formula>OR(AND(BN21=-1,COLUMN(V21)&lt;=$BD$4,ROW(V21)=$AY$5),AND(BN21=-1,COLUMN(V21)=$BD$4,ROW(V21)&lt;=$AY$5))</formula>
    </cfRule>
  </conditionalFormatting>
  <conditionalFormatting sqref="R21:S23">
    <cfRule type="expression" dxfId="2" priority="61" stopIfTrue="1">
      <formula>AND(BL21=0,COLUMN(R21)=$BD$4,ROW(R21)=$AY$5)</formula>
    </cfRule>
    <cfRule type="expression" dxfId="1" priority="62" stopIfTrue="1">
      <formula>OR(AND(BL21=1,COLUMN(R21)&lt;=$BD$4,ROW(R21)=$AY$5),AND(BL21=1,COLUMN(R21)=$BD$4,ROW(R21)&lt;=$AY$5))</formula>
    </cfRule>
    <cfRule type="expression" dxfId="0" priority="63" stopIfTrue="1">
      <formula>OR(AND(BL21=-1,COLUMN(R21)&lt;=$BD$4,ROW(R21)=$AY$5),AND(BL21=-1,COLUMN(R21)=$BD$4,ROW(R21)&lt;=$AY$5))</formula>
    </cfRule>
  </conditionalFormatting>
  <dataValidations count="8">
    <dataValidation type="list" allowBlank="1" showInputMessage="1" showErrorMessage="1" sqref="I21:I23 C4:C20 I25:I27 C24 C28:C61" xr:uid="{09A6E818-05D7-4B21-B2E7-B9986FC18B3D}">
      <formula1>INDIRECT($AS$4)</formula1>
    </dataValidation>
    <dataValidation type="list" allowBlank="1" showInputMessage="1" showErrorMessage="1" sqref="E21:E23 D4:D20 E25:E27 D24 D28:D61" xr:uid="{5090D218-F493-45E1-9F65-522183C03A8F}">
      <formula1>INDIRECT($AS$3)</formula1>
    </dataValidation>
    <dataValidation type="custom" errorStyle="warning" allowBlank="1" showInputMessage="1" showErrorMessage="1" errorTitle="Check Entered Weight" error="Must be a multiple of 2.5 kg/5 lb unless this is a World Record attempt" sqref="R21:R23 L4:L20 Q4:Q20 P25:P27 Y21:Z23 V4:V20 L24 Q24 Q28:Q61 L28:L61 V24 Y25:Z27 V28:V61" xr:uid="{F970C89B-F640-47ED-83E4-13119F4F5AE7}">
      <formula1>AND(MOD(L4,IF($E$3="Lb",5,2.5))=0)</formula1>
    </dataValidation>
    <dataValidation type="custom" errorStyle="warning" allowBlank="1" showInputMessage="1" showErrorMessage="1" errorTitle="Check Entered Weight" error="Must be a multiple of 2.5 kg/5 lb unless this is a World Record attempt" sqref="Z21:Z23 R4:S20 M4:N20 Z25:Z27 W4:X20 S21:S23 R24:S24 M24:N24 M28:N61 R28:S61 W24:X24 W28:X61" xr:uid="{CB86D1C0-DFB9-4233-835B-E30BD153E672}">
      <formula1>AND(M4&gt;L4,M4&gt;=ABS(L4),MOD(M4,IF($E$3="Lb",5,2.5))=0)</formula1>
    </dataValidation>
    <dataValidation type="custom" errorStyle="warning" allowBlank="1" showInputMessage="1" showErrorMessage="1" errorTitle="Check Entered Weight" error="Must be a multiple of 2.5 kg/5 lb unless this is a World Record attempt" sqref="V21:V23" xr:uid="{258893B9-B8D1-411E-A1EB-9E0323547C45}">
      <formula1>AND(V21&gt;S21,V21&gt;=ABS(S21),MOD(V21,IF($E$3="Lb",5,2.5))=0)</formula1>
    </dataValidation>
    <dataValidation type="list" allowBlank="1" showInputMessage="1" showErrorMessage="1" sqref="A4:A61" xr:uid="{4D459F66-734D-4F5C-AD42-3DBE73CD1A97}">
      <formula1>"A,B,C,D,E,F,G,H"</formula1>
    </dataValidation>
    <dataValidation type="list" errorStyle="information" allowBlank="1" showInputMessage="1" showErrorMessage="1" sqref="AC4:AC61" xr:uid="{114910EC-479E-4578-B7FF-1C0B9DC66CAE}">
      <formula1>"1,2,3"</formula1>
    </dataValidation>
    <dataValidation type="custom" errorStyle="warning" allowBlank="1" showInputMessage="1" showErrorMessage="1" errorTitle="Check Entered Weight" error="Must be a multiple of 2.5 kg/5 lb unless this is a World Record attempt" sqref="V25:V27" xr:uid="{FCDE7085-523B-4F32-A3BD-F813712419E9}">
      <formula1>AND(V25&gt;#REF!,V25&gt;=ABS(#REF!),MOD(V25,IF($E$3="Lb",5,2.5))=0)</formula1>
    </dataValidation>
  </dataValidation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0wner</dc:creator>
  <cp:lastModifiedBy>0wner</cp:lastModifiedBy>
  <dcterms:created xsi:type="dcterms:W3CDTF">2021-03-09T01:54:52Z</dcterms:created>
  <dcterms:modified xsi:type="dcterms:W3CDTF">2021-03-12T19:30:46Z</dcterms:modified>
</cp:coreProperties>
</file>